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\Desktop\Tesi\Impianti\Cogenerazione\"/>
    </mc:Choice>
  </mc:AlternateContent>
  <xr:revisionPtr revIDLastSave="0" documentId="13_ncr:1_{28B6CC6A-4B98-4263-9BD5-5F8B371C745F}" xr6:coauthVersionLast="47" xr6:coauthVersionMax="47" xr10:uidLastSave="{00000000-0000-0000-0000-000000000000}"/>
  <bookViews>
    <workbookView xWindow="-108" yWindow="-108" windowWidth="23256" windowHeight="12576" xr2:uid="{E6E2595B-4121-4E76-A8BE-F3F7C54F8DBF}"/>
  </bookViews>
  <sheets>
    <sheet name="Calcolo" sheetId="4" r:id="rId1"/>
    <sheet name="Piano economico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6" i="4" l="1"/>
  <c r="D125" i="4"/>
  <c r="D124" i="4"/>
  <c r="D123" i="4"/>
  <c r="D122" i="4"/>
  <c r="D121" i="4"/>
  <c r="D62" i="4"/>
  <c r="D61" i="4"/>
  <c r="H11" i="4"/>
  <c r="H12" i="4"/>
  <c r="H10" i="4"/>
  <c r="G14" i="4"/>
  <c r="G15" i="4"/>
  <c r="G13" i="4"/>
  <c r="G5" i="4"/>
  <c r="G6" i="4"/>
  <c r="G9" i="4"/>
  <c r="G10" i="4"/>
  <c r="F17" i="4"/>
  <c r="F16" i="4"/>
  <c r="F4" i="4"/>
  <c r="H4" i="4" s="1"/>
  <c r="F5" i="4"/>
  <c r="H5" i="4" s="1"/>
  <c r="F6" i="4"/>
  <c r="H6" i="4" s="1"/>
  <c r="F7" i="4"/>
  <c r="G7" i="4" s="1"/>
  <c r="F8" i="4"/>
  <c r="H8" i="4" s="1"/>
  <c r="F9" i="4"/>
  <c r="H9" i="4" s="1"/>
  <c r="F10" i="4"/>
  <c r="F11" i="4"/>
  <c r="G11" i="4" s="1"/>
  <c r="F12" i="4"/>
  <c r="G12" i="4" s="1"/>
  <c r="F13" i="4"/>
  <c r="F14" i="4"/>
  <c r="F15" i="4"/>
  <c r="E34" i="5"/>
  <c r="D88" i="4"/>
  <c r="M28" i="4"/>
  <c r="D95" i="4" s="1"/>
  <c r="L27" i="4"/>
  <c r="L26" i="4"/>
  <c r="L25" i="4"/>
  <c r="C88" i="5"/>
  <c r="C89" i="5" s="1"/>
  <c r="C90" i="5" s="1"/>
  <c r="C91" i="5" s="1"/>
  <c r="C92" i="5" s="1"/>
  <c r="C93" i="5" s="1"/>
  <c r="C94" i="5" s="1"/>
  <c r="C95" i="5" s="1"/>
  <c r="C96" i="5" s="1"/>
  <c r="C97" i="5" s="1"/>
  <c r="C98" i="5" s="1"/>
  <c r="C99" i="5" s="1"/>
  <c r="C100" i="5" s="1"/>
  <c r="C101" i="5" s="1"/>
  <c r="C102" i="5" s="1"/>
  <c r="C103" i="5" s="1"/>
  <c r="C104" i="5" s="1"/>
  <c r="C105" i="5" s="1"/>
  <c r="C106" i="5" s="1"/>
  <c r="C107" i="5" s="1"/>
  <c r="C108" i="5" s="1"/>
  <c r="C109" i="5" s="1"/>
  <c r="C110" i="5" s="1"/>
  <c r="C111" i="5" s="1"/>
  <c r="C112" i="5" s="1"/>
  <c r="H7" i="4" l="1"/>
  <c r="G8" i="4"/>
  <c r="G4" i="4"/>
  <c r="G28" i="5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C3" i="5"/>
  <c r="C2" i="5"/>
  <c r="H42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I34" i="5"/>
  <c r="G34" i="5"/>
  <c r="AB34" i="5"/>
  <c r="G24" i="5"/>
  <c r="H24" i="5" s="1"/>
  <c r="I24" i="5" s="1"/>
  <c r="J24" i="5" s="1"/>
  <c r="K24" i="5" s="1"/>
  <c r="L24" i="5" s="1"/>
  <c r="M24" i="5" s="1"/>
  <c r="N24" i="5" s="1"/>
  <c r="O24" i="5" s="1"/>
  <c r="P24" i="5" s="1"/>
  <c r="Q24" i="5" s="1"/>
  <c r="R24" i="5" s="1"/>
  <c r="S24" i="5" s="1"/>
  <c r="T24" i="5" s="1"/>
  <c r="U24" i="5" s="1"/>
  <c r="V24" i="5" s="1"/>
  <c r="W24" i="5" s="1"/>
  <c r="X24" i="5" s="1"/>
  <c r="Y24" i="5" s="1"/>
  <c r="Z24" i="5" s="1"/>
  <c r="AA24" i="5" s="1"/>
  <c r="AB24" i="5" s="1"/>
  <c r="AC24" i="5" s="1"/>
  <c r="AD24" i="5" s="1"/>
  <c r="AE24" i="5" s="1"/>
  <c r="C15" i="5"/>
  <c r="C16" i="5" s="1"/>
  <c r="C13" i="5"/>
  <c r="C7" i="5"/>
  <c r="E63" i="5" s="1"/>
  <c r="D75" i="4"/>
  <c r="D73" i="4"/>
  <c r="E55" i="4"/>
  <c r="E57" i="4" s="1"/>
  <c r="F55" i="4"/>
  <c r="F57" i="4" s="1"/>
  <c r="D55" i="4"/>
  <c r="D57" i="4" s="1"/>
  <c r="J44" i="4"/>
  <c r="I44" i="4"/>
  <c r="J42" i="4"/>
  <c r="I42" i="4"/>
  <c r="J40" i="4"/>
  <c r="I40" i="4"/>
  <c r="J38" i="4"/>
  <c r="I38" i="4"/>
  <c r="J36" i="4"/>
  <c r="I36" i="4"/>
  <c r="J34" i="4"/>
  <c r="I34" i="4"/>
  <c r="T34" i="4" l="1"/>
  <c r="T33" i="4"/>
  <c r="V34" i="4" s="1"/>
  <c r="O34" i="5"/>
  <c r="AC34" i="5"/>
  <c r="U34" i="5"/>
  <c r="K34" i="5"/>
  <c r="P34" i="5"/>
  <c r="W34" i="5"/>
  <c r="AE34" i="5"/>
  <c r="L34" i="5"/>
  <c r="Q34" i="5"/>
  <c r="Y34" i="5"/>
  <c r="H34" i="5"/>
  <c r="M34" i="5"/>
  <c r="S34" i="5"/>
  <c r="AA34" i="5"/>
  <c r="AE63" i="5"/>
  <c r="AA63" i="5"/>
  <c r="W63" i="5"/>
  <c r="S63" i="5"/>
  <c r="O63" i="5"/>
  <c r="K63" i="5"/>
  <c r="G63" i="5"/>
  <c r="AD63" i="5"/>
  <c r="Z63" i="5"/>
  <c r="V63" i="5"/>
  <c r="R63" i="5"/>
  <c r="N63" i="5"/>
  <c r="J63" i="5"/>
  <c r="Y63" i="5"/>
  <c r="Q63" i="5"/>
  <c r="I63" i="5"/>
  <c r="X63" i="5"/>
  <c r="P63" i="5"/>
  <c r="H63" i="5"/>
  <c r="AC63" i="5"/>
  <c r="U63" i="5"/>
  <c r="M63" i="5"/>
  <c r="I42" i="5"/>
  <c r="AB63" i="5"/>
  <c r="C8" i="5"/>
  <c r="L63" i="5"/>
  <c r="T63" i="5"/>
  <c r="J34" i="5"/>
  <c r="N34" i="5"/>
  <c r="R34" i="5"/>
  <c r="V34" i="5"/>
  <c r="Z34" i="5"/>
  <c r="AD34" i="5"/>
  <c r="T34" i="5"/>
  <c r="X34" i="5"/>
  <c r="F3" i="4"/>
  <c r="P34" i="4" l="1"/>
  <c r="R35" i="4" s="1"/>
  <c r="H3" i="4"/>
  <c r="P33" i="4"/>
  <c r="R34" i="4"/>
  <c r="P32" i="4"/>
  <c r="T32" i="4"/>
  <c r="V33" i="4" s="1"/>
  <c r="V37" i="4" s="1"/>
  <c r="L32" i="4"/>
  <c r="G3" i="4"/>
  <c r="J43" i="4"/>
  <c r="I43" i="4" s="1"/>
  <c r="J25" i="4" s="1"/>
  <c r="J35" i="4"/>
  <c r="I35" i="4" s="1"/>
  <c r="J27" i="4" s="1"/>
  <c r="I3" i="5"/>
  <c r="C10" i="5"/>
  <c r="AF63" i="5"/>
  <c r="J42" i="5"/>
  <c r="R33" i="4" l="1"/>
  <c r="R37" i="4" s="1"/>
  <c r="J39" i="4"/>
  <c r="I39" i="4" s="1"/>
  <c r="J26" i="4" s="1"/>
  <c r="K26" i="4" s="1"/>
  <c r="L34" i="4"/>
  <c r="N35" i="4" s="1"/>
  <c r="L33" i="4"/>
  <c r="K25" i="4"/>
  <c r="H56" i="5"/>
  <c r="L56" i="5"/>
  <c r="P56" i="5"/>
  <c r="T56" i="5"/>
  <c r="X56" i="5"/>
  <c r="AB56" i="5"/>
  <c r="G56" i="5"/>
  <c r="M56" i="5"/>
  <c r="U56" i="5"/>
  <c r="AC56" i="5"/>
  <c r="J56" i="5"/>
  <c r="N56" i="5"/>
  <c r="R56" i="5"/>
  <c r="V56" i="5"/>
  <c r="Z56" i="5"/>
  <c r="AD56" i="5"/>
  <c r="K56" i="5"/>
  <c r="O56" i="5"/>
  <c r="S56" i="5"/>
  <c r="W56" i="5"/>
  <c r="AA56" i="5"/>
  <c r="AE56" i="5"/>
  <c r="I56" i="5"/>
  <c r="Q56" i="5"/>
  <c r="Y56" i="5"/>
  <c r="S55" i="5"/>
  <c r="T55" i="5"/>
  <c r="R55" i="5"/>
  <c r="Q55" i="5"/>
  <c r="U55" i="5"/>
  <c r="K55" i="5"/>
  <c r="O55" i="5"/>
  <c r="I55" i="5"/>
  <c r="G55" i="5"/>
  <c r="J55" i="5"/>
  <c r="H55" i="5"/>
  <c r="L55" i="5"/>
  <c r="P55" i="5"/>
  <c r="M55" i="5"/>
  <c r="N55" i="5"/>
  <c r="D48" i="5"/>
  <c r="J48" i="5" s="1"/>
  <c r="F65" i="5"/>
  <c r="K42" i="5"/>
  <c r="D71" i="4"/>
  <c r="D47" i="5" s="1"/>
  <c r="J47" i="5" s="1"/>
  <c r="D64" i="4"/>
  <c r="D67" i="4" s="1"/>
  <c r="D44" i="4"/>
  <c r="D42" i="4"/>
  <c r="D40" i="4"/>
  <c r="D38" i="4"/>
  <c r="D36" i="4"/>
  <c r="D34" i="4"/>
  <c r="N34" i="4" l="1"/>
  <c r="N33" i="4"/>
  <c r="N37" i="4" s="1"/>
  <c r="K27" i="4" s="1"/>
  <c r="D49" i="5"/>
  <c r="J49" i="5" s="1"/>
  <c r="G48" i="5"/>
  <c r="H48" i="5"/>
  <c r="I48" i="5"/>
  <c r="G47" i="5"/>
  <c r="H47" i="5"/>
  <c r="I47" i="5"/>
  <c r="L42" i="5"/>
  <c r="K48" i="5"/>
  <c r="K47" i="5"/>
  <c r="C67" i="5"/>
  <c r="D69" i="4"/>
  <c r="D45" i="5" s="1"/>
  <c r="D52" i="4"/>
  <c r="G49" i="5" l="1"/>
  <c r="K49" i="5"/>
  <c r="I49" i="5"/>
  <c r="H49" i="5"/>
  <c r="G45" i="5"/>
  <c r="G51" i="5" s="1"/>
  <c r="H45" i="5"/>
  <c r="I45" i="5"/>
  <c r="I51" i="5" s="1"/>
  <c r="J45" i="5"/>
  <c r="J51" i="5" s="1"/>
  <c r="K45" i="5"/>
  <c r="K51" i="5" s="1"/>
  <c r="L48" i="5"/>
  <c r="M42" i="5"/>
  <c r="L45" i="5"/>
  <c r="L47" i="5"/>
  <c r="L49" i="5"/>
  <c r="L28" i="4"/>
  <c r="G26" i="5" s="1"/>
  <c r="H51" i="5" l="1"/>
  <c r="G57" i="4"/>
  <c r="K28" i="4"/>
  <c r="N28" i="4" s="1"/>
  <c r="D93" i="4"/>
  <c r="L51" i="5"/>
  <c r="M49" i="5"/>
  <c r="M48" i="5"/>
  <c r="N42" i="5"/>
  <c r="M47" i="5"/>
  <c r="M45" i="5"/>
  <c r="D78" i="4"/>
  <c r="D81" i="4"/>
  <c r="G30" i="5" l="1"/>
  <c r="H26" i="5"/>
  <c r="H32" i="5"/>
  <c r="H36" i="5" s="1"/>
  <c r="L32" i="5"/>
  <c r="L36" i="5" s="1"/>
  <c r="P32" i="5"/>
  <c r="P36" i="5" s="1"/>
  <c r="T32" i="5"/>
  <c r="T36" i="5" s="1"/>
  <c r="X32" i="5"/>
  <c r="X36" i="5" s="1"/>
  <c r="AB32" i="5"/>
  <c r="AB36" i="5" s="1"/>
  <c r="G32" i="5"/>
  <c r="G36" i="5" s="1"/>
  <c r="I32" i="5"/>
  <c r="I36" i="5" s="1"/>
  <c r="M32" i="5"/>
  <c r="M36" i="5" s="1"/>
  <c r="Q32" i="5"/>
  <c r="Q36" i="5" s="1"/>
  <c r="U32" i="5"/>
  <c r="U36" i="5" s="1"/>
  <c r="Y32" i="5"/>
  <c r="Y36" i="5" s="1"/>
  <c r="AC32" i="5"/>
  <c r="AC36" i="5" s="1"/>
  <c r="J32" i="5"/>
  <c r="J36" i="5" s="1"/>
  <c r="N32" i="5"/>
  <c r="N36" i="5" s="1"/>
  <c r="R32" i="5"/>
  <c r="R36" i="5" s="1"/>
  <c r="V32" i="5"/>
  <c r="V36" i="5" s="1"/>
  <c r="Z32" i="5"/>
  <c r="Z36" i="5" s="1"/>
  <c r="AD32" i="5"/>
  <c r="AD36" i="5" s="1"/>
  <c r="D94" i="4"/>
  <c r="D96" i="4" s="1"/>
  <c r="D97" i="4" s="1"/>
  <c r="D104" i="4" s="1"/>
  <c r="D106" i="4" s="1"/>
  <c r="K32" i="5"/>
  <c r="K36" i="5" s="1"/>
  <c r="O32" i="5"/>
  <c r="O36" i="5" s="1"/>
  <c r="S32" i="5"/>
  <c r="S36" i="5" s="1"/>
  <c r="W32" i="5"/>
  <c r="W36" i="5" s="1"/>
  <c r="AA32" i="5"/>
  <c r="AA36" i="5" s="1"/>
  <c r="AE32" i="5"/>
  <c r="AE36" i="5" s="1"/>
  <c r="D84" i="4"/>
  <c r="O42" i="5"/>
  <c r="N47" i="5"/>
  <c r="N45" i="5"/>
  <c r="N49" i="5"/>
  <c r="N48" i="5"/>
  <c r="M51" i="5"/>
  <c r="T38" i="5" l="1"/>
  <c r="Q38" i="5"/>
  <c r="U38" i="5"/>
  <c r="R38" i="5"/>
  <c r="S38" i="5"/>
  <c r="J38" i="5"/>
  <c r="N38" i="5"/>
  <c r="K38" i="5"/>
  <c r="O38" i="5"/>
  <c r="H38" i="5"/>
  <c r="L38" i="5"/>
  <c r="P38" i="5"/>
  <c r="I38" i="5"/>
  <c r="M38" i="5"/>
  <c r="G38" i="5"/>
  <c r="G43" i="5" s="1"/>
  <c r="G53" i="5" s="1"/>
  <c r="I26" i="5"/>
  <c r="H30" i="5"/>
  <c r="O48" i="5"/>
  <c r="O47" i="5"/>
  <c r="P42" i="5"/>
  <c r="O45" i="5"/>
  <c r="O49" i="5"/>
  <c r="N51" i="5"/>
  <c r="H43" i="5" l="1"/>
  <c r="H53" i="5" s="1"/>
  <c r="H59" i="5" s="1"/>
  <c r="H62" i="5" s="1"/>
  <c r="G73" i="5"/>
  <c r="G59" i="5"/>
  <c r="I30" i="5"/>
  <c r="I43" i="5" s="1"/>
  <c r="I53" i="5" s="1"/>
  <c r="I59" i="5" s="1"/>
  <c r="J26" i="5"/>
  <c r="O51" i="5"/>
  <c r="Q42" i="5"/>
  <c r="P49" i="5"/>
  <c r="P48" i="5"/>
  <c r="P45" i="5"/>
  <c r="P47" i="5"/>
  <c r="H61" i="5" l="1"/>
  <c r="H65" i="5" s="1"/>
  <c r="K26" i="5"/>
  <c r="J30" i="5"/>
  <c r="J43" i="5" s="1"/>
  <c r="J53" i="5" s="1"/>
  <c r="J59" i="5" s="1"/>
  <c r="I62" i="5"/>
  <c r="I61" i="5"/>
  <c r="G62" i="5"/>
  <c r="G61" i="5"/>
  <c r="R42" i="5"/>
  <c r="Q48" i="5"/>
  <c r="Q45" i="5"/>
  <c r="Q47" i="5"/>
  <c r="Q49" i="5"/>
  <c r="P51" i="5"/>
  <c r="G65" i="5" l="1"/>
  <c r="G75" i="5" s="1"/>
  <c r="I65" i="5"/>
  <c r="J62" i="5"/>
  <c r="J61" i="5"/>
  <c r="K30" i="5"/>
  <c r="K43" i="5" s="1"/>
  <c r="K53" i="5" s="1"/>
  <c r="K59" i="5" s="1"/>
  <c r="L26" i="5"/>
  <c r="S42" i="5"/>
  <c r="R49" i="5"/>
  <c r="R47" i="5"/>
  <c r="R45" i="5"/>
  <c r="R48" i="5"/>
  <c r="Q51" i="5"/>
  <c r="G67" i="5" l="1"/>
  <c r="H67" i="5" s="1"/>
  <c r="I67" i="5" s="1"/>
  <c r="J65" i="5"/>
  <c r="M26" i="5"/>
  <c r="L30" i="5"/>
  <c r="L43" i="5" s="1"/>
  <c r="L53" i="5" s="1"/>
  <c r="L59" i="5" s="1"/>
  <c r="K61" i="5"/>
  <c r="K62" i="5"/>
  <c r="S48" i="5"/>
  <c r="T42" i="5"/>
  <c r="S47" i="5"/>
  <c r="S49" i="5"/>
  <c r="S45" i="5"/>
  <c r="R51" i="5"/>
  <c r="J67" i="5" l="1"/>
  <c r="K65" i="5"/>
  <c r="L61" i="5"/>
  <c r="L62" i="5"/>
  <c r="M30" i="5"/>
  <c r="M43" i="5" s="1"/>
  <c r="M53" i="5" s="1"/>
  <c r="M59" i="5" s="1"/>
  <c r="N26" i="5"/>
  <c r="S51" i="5"/>
  <c r="T48" i="5"/>
  <c r="T47" i="5"/>
  <c r="U42" i="5"/>
  <c r="T45" i="5"/>
  <c r="T49" i="5"/>
  <c r="K67" i="5" l="1"/>
  <c r="L65" i="5"/>
  <c r="L67" i="5" s="1"/>
  <c r="M61" i="5"/>
  <c r="M62" i="5"/>
  <c r="N30" i="5"/>
  <c r="N43" i="5" s="1"/>
  <c r="N53" i="5" s="1"/>
  <c r="N59" i="5" s="1"/>
  <c r="O26" i="5"/>
  <c r="V42" i="5"/>
  <c r="U48" i="5"/>
  <c r="U49" i="5"/>
  <c r="U45" i="5"/>
  <c r="U47" i="5"/>
  <c r="T51" i="5"/>
  <c r="M65" i="5" l="1"/>
  <c r="M67" i="5" s="1"/>
  <c r="N62" i="5"/>
  <c r="N61" i="5"/>
  <c r="O30" i="5"/>
  <c r="O43" i="5" s="1"/>
  <c r="O53" i="5" s="1"/>
  <c r="O59" i="5" s="1"/>
  <c r="P26" i="5"/>
  <c r="U51" i="5"/>
  <c r="W42" i="5"/>
  <c r="V49" i="5"/>
  <c r="V47" i="5"/>
  <c r="V45" i="5"/>
  <c r="V48" i="5"/>
  <c r="N65" i="5" l="1"/>
  <c r="N67" i="5" s="1"/>
  <c r="O61" i="5"/>
  <c r="O62" i="5"/>
  <c r="Q26" i="5"/>
  <c r="P30" i="5"/>
  <c r="V51" i="5"/>
  <c r="W48" i="5"/>
  <c r="W47" i="5"/>
  <c r="X42" i="5"/>
  <c r="W49" i="5"/>
  <c r="W45" i="5"/>
  <c r="O65" i="5" l="1"/>
  <c r="O67" i="5" s="1"/>
  <c r="Q30" i="5"/>
  <c r="Q43" i="5" s="1"/>
  <c r="Q53" i="5" s="1"/>
  <c r="Q59" i="5" s="1"/>
  <c r="R26" i="5"/>
  <c r="P43" i="5"/>
  <c r="P53" i="5" s="1"/>
  <c r="P59" i="5" s="1"/>
  <c r="X49" i="5"/>
  <c r="X48" i="5"/>
  <c r="Y42" i="5"/>
  <c r="X45" i="5"/>
  <c r="X47" i="5"/>
  <c r="W51" i="5"/>
  <c r="P62" i="5" l="1"/>
  <c r="P61" i="5"/>
  <c r="S26" i="5"/>
  <c r="R30" i="5"/>
  <c r="R43" i="5" s="1"/>
  <c r="R53" i="5" s="1"/>
  <c r="R59" i="5" s="1"/>
  <c r="Q61" i="5"/>
  <c r="Q62" i="5"/>
  <c r="X51" i="5"/>
  <c r="Y48" i="5"/>
  <c r="Z42" i="5"/>
  <c r="Y45" i="5"/>
  <c r="Y47" i="5"/>
  <c r="Y49" i="5"/>
  <c r="Q65" i="5" l="1"/>
  <c r="P65" i="5"/>
  <c r="P67" i="5" s="1"/>
  <c r="S30" i="5"/>
  <c r="T26" i="5"/>
  <c r="R61" i="5"/>
  <c r="R62" i="5"/>
  <c r="AA42" i="5"/>
  <c r="Z47" i="5"/>
  <c r="Z49" i="5"/>
  <c r="Z48" i="5"/>
  <c r="Z45" i="5"/>
  <c r="Y51" i="5"/>
  <c r="Q67" i="5" l="1"/>
  <c r="R65" i="5"/>
  <c r="R67" i="5" s="1"/>
  <c r="U26" i="5"/>
  <c r="T30" i="5"/>
  <c r="T43" i="5" s="1"/>
  <c r="T53" i="5" s="1"/>
  <c r="T59" i="5" s="1"/>
  <c r="S43" i="5"/>
  <c r="S53" i="5" s="1"/>
  <c r="S59" i="5" s="1"/>
  <c r="Z51" i="5"/>
  <c r="AA48" i="5"/>
  <c r="AB42" i="5"/>
  <c r="AA49" i="5"/>
  <c r="AA45" i="5"/>
  <c r="AA47" i="5"/>
  <c r="T62" i="5" l="1"/>
  <c r="T61" i="5"/>
  <c r="T65" i="5" s="1"/>
  <c r="S62" i="5"/>
  <c r="S61" i="5"/>
  <c r="V26" i="5"/>
  <c r="U30" i="5"/>
  <c r="U43" i="5" s="1"/>
  <c r="U53" i="5" s="1"/>
  <c r="U59" i="5" s="1"/>
  <c r="AA51" i="5"/>
  <c r="AB48" i="5"/>
  <c r="AC42" i="5"/>
  <c r="AB47" i="5"/>
  <c r="AB49" i="5"/>
  <c r="AB45" i="5"/>
  <c r="S65" i="5" l="1"/>
  <c r="S67" i="5" s="1"/>
  <c r="T67" i="5" s="1"/>
  <c r="U62" i="5"/>
  <c r="U61" i="5"/>
  <c r="W26" i="5"/>
  <c r="V30" i="5"/>
  <c r="V43" i="5" s="1"/>
  <c r="V53" i="5" s="1"/>
  <c r="V59" i="5" s="1"/>
  <c r="AC49" i="5"/>
  <c r="AC48" i="5"/>
  <c r="AD42" i="5"/>
  <c r="AC45" i="5"/>
  <c r="AC47" i="5"/>
  <c r="AB51" i="5"/>
  <c r="U65" i="5" l="1"/>
  <c r="U67" i="5" s="1"/>
  <c r="X26" i="5"/>
  <c r="W30" i="5"/>
  <c r="W43" i="5" s="1"/>
  <c r="W53" i="5" s="1"/>
  <c r="W59" i="5" s="1"/>
  <c r="V62" i="5"/>
  <c r="V61" i="5"/>
  <c r="AC51" i="5"/>
  <c r="AE42" i="5"/>
  <c r="AD45" i="5"/>
  <c r="AD48" i="5"/>
  <c r="AD47" i="5"/>
  <c r="AD49" i="5"/>
  <c r="V65" i="5" l="1"/>
  <c r="W62" i="5"/>
  <c r="W61" i="5"/>
  <c r="Y26" i="5"/>
  <c r="X30" i="5"/>
  <c r="X43" i="5" s="1"/>
  <c r="X53" i="5" s="1"/>
  <c r="X59" i="5" s="1"/>
  <c r="AD51" i="5"/>
  <c r="AE48" i="5"/>
  <c r="AF48" i="5" s="1"/>
  <c r="AE47" i="5"/>
  <c r="AF47" i="5" s="1"/>
  <c r="AE45" i="5"/>
  <c r="AE49" i="5"/>
  <c r="AF49" i="5" s="1"/>
  <c r="W65" i="5" l="1"/>
  <c r="V67" i="5"/>
  <c r="Z26" i="5"/>
  <c r="Y30" i="5"/>
  <c r="Y43" i="5" s="1"/>
  <c r="Y53" i="5" s="1"/>
  <c r="Y59" i="5" s="1"/>
  <c r="X62" i="5"/>
  <c r="X61" i="5"/>
  <c r="AE51" i="5"/>
  <c r="AF51" i="5" s="1"/>
  <c r="AF45" i="5"/>
  <c r="W67" i="5" l="1"/>
  <c r="X65" i="5"/>
  <c r="Y61" i="5"/>
  <c r="Y62" i="5"/>
  <c r="Z30" i="5"/>
  <c r="Z43" i="5" s="1"/>
  <c r="Z53" i="5" s="1"/>
  <c r="Z59" i="5" s="1"/>
  <c r="AA26" i="5"/>
  <c r="Y65" i="5" l="1"/>
  <c r="X67" i="5"/>
  <c r="AA30" i="5"/>
  <c r="AB26" i="5"/>
  <c r="Z61" i="5"/>
  <c r="Z62" i="5"/>
  <c r="Y67" i="5" l="1"/>
  <c r="AA43" i="5"/>
  <c r="Z65" i="5"/>
  <c r="AC26" i="5"/>
  <c r="AB30" i="5"/>
  <c r="AB43" i="5" s="1"/>
  <c r="AB53" i="5" s="1"/>
  <c r="AB59" i="5" s="1"/>
  <c r="Z67" i="5" l="1"/>
  <c r="AA53" i="5"/>
  <c r="AB62" i="5"/>
  <c r="AB61" i="5"/>
  <c r="AD26" i="5"/>
  <c r="AC30" i="5"/>
  <c r="AC43" i="5" s="1"/>
  <c r="AC53" i="5" s="1"/>
  <c r="AC59" i="5" s="1"/>
  <c r="AB65" i="5" l="1"/>
  <c r="AA59" i="5"/>
  <c r="AE26" i="5"/>
  <c r="AD30" i="5"/>
  <c r="AD43" i="5" s="1"/>
  <c r="AC61" i="5"/>
  <c r="AC62" i="5"/>
  <c r="AC65" i="5" l="1"/>
  <c r="AD53" i="5"/>
  <c r="AA62" i="5"/>
  <c r="AA61" i="5"/>
  <c r="AE30" i="5"/>
  <c r="AF26" i="5"/>
  <c r="AA65" i="5" l="1"/>
  <c r="AA67" i="5" s="1"/>
  <c r="AB67" i="5" s="1"/>
  <c r="AC67" i="5" s="1"/>
  <c r="AE43" i="5"/>
  <c r="AF30" i="5"/>
  <c r="AD59" i="5"/>
  <c r="AE53" i="5" l="1"/>
  <c r="AF43" i="5"/>
  <c r="AD61" i="5"/>
  <c r="AD62" i="5"/>
  <c r="AD65" i="5" l="1"/>
  <c r="AD67" i="5" s="1"/>
  <c r="AE59" i="5"/>
  <c r="AF53" i="5"/>
  <c r="AE61" i="5" l="1"/>
  <c r="AF61" i="5" s="1"/>
  <c r="AE62" i="5"/>
  <c r="AF62" i="5" s="1"/>
  <c r="AF59" i="5"/>
  <c r="AE65" i="5" l="1"/>
  <c r="AE67" i="5" s="1"/>
  <c r="G77" i="5" s="1"/>
  <c r="AF65" i="5" l="1"/>
  <c r="G7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93FF2687-C82A-4A11-BE9D-DD3A028395FF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sharedStrings.xml><?xml version="1.0" encoding="utf-8"?>
<sst xmlns="http://schemas.openxmlformats.org/spreadsheetml/2006/main" count="164" uniqueCount="138">
  <si>
    <t>tot</t>
  </si>
  <si>
    <t>risparmio energetico [Kwh/y]</t>
  </si>
  <si>
    <t>CALCOLO TEE</t>
  </si>
  <si>
    <t>intercetta</t>
  </si>
  <si>
    <t>modello</t>
  </si>
  <si>
    <t>potenza el [kw]</t>
  </si>
  <si>
    <t>potenza termica</t>
  </si>
  <si>
    <t>rendimento el</t>
  </si>
  <si>
    <t>rendimento term</t>
  </si>
  <si>
    <t>rendimento tot</t>
  </si>
  <si>
    <t>potenza introdotta</t>
  </si>
  <si>
    <t>PCI</t>
  </si>
  <si>
    <t>rapporto cogenerazione</t>
  </si>
  <si>
    <t>indice elettrico</t>
  </si>
  <si>
    <t>consumo specifico combu</t>
  </si>
  <si>
    <t>COEFFICIENTI PES</t>
  </si>
  <si>
    <t>rend el separato</t>
  </si>
  <si>
    <t>rend th separato</t>
  </si>
  <si>
    <t>PES</t>
  </si>
  <si>
    <t>CAR</t>
  </si>
  <si>
    <t>portata vol gas nat [Sm^3/h]</t>
  </si>
  <si>
    <t>CALCOLO costi orari</t>
  </si>
  <si>
    <t>accisa usi industriali [Euro/Sm^3]</t>
  </si>
  <si>
    <t>ARISGAM [Euro/Sm^3]</t>
  </si>
  <si>
    <t>tot accise</t>
  </si>
  <si>
    <t>prezzo gas nat senza accise</t>
  </si>
  <si>
    <t>prezzo gas con accise</t>
  </si>
  <si>
    <t>COSTO manutenzione [cEuro/h]</t>
  </si>
  <si>
    <t>costo manutenzione [cEuro/Kwhel]</t>
  </si>
  <si>
    <t>defiscalizzazione [Sm^3/Kwhel]</t>
  </si>
  <si>
    <t>COSTO conduzione [cEuro/h]</t>
  </si>
  <si>
    <t>COSTO assicurazione [cEuro/h]</t>
  </si>
  <si>
    <t>COSTO TOTALE NETTO</t>
  </si>
  <si>
    <t>COSTO NETTO SPEC</t>
  </si>
  <si>
    <t>COSTO TOTALE LORDO</t>
  </si>
  <si>
    <t>costo impianto specifico [Euro/kwel]</t>
  </si>
  <si>
    <t>perché lavora sempre a carico nominale con lo stesso rapporto di cogenerazione</t>
  </si>
  <si>
    <t>Energia elettrica [Kwh/y]</t>
  </si>
  <si>
    <t>Energia termica prodotta [Kwh/y]</t>
  </si>
  <si>
    <t>Energia alimentata</t>
  </si>
  <si>
    <t>coefficiente [TEP/Mwht]</t>
  </si>
  <si>
    <t>risparmio energetico [Mwh/y]</t>
  </si>
  <si>
    <t>coefficiente K</t>
  </si>
  <si>
    <t>TEE</t>
  </si>
  <si>
    <t>312 C202</t>
  </si>
  <si>
    <t xml:space="preserve">rendimento tot </t>
  </si>
  <si>
    <t xml:space="preserve">rend termico </t>
  </si>
  <si>
    <t>rend elettrico</t>
  </si>
  <si>
    <t>COSTO combustibile [cEuro/h]</t>
  </si>
  <si>
    <t>consumo annuo gas nat [Sm^3/y]</t>
  </si>
  <si>
    <t>costo conduzione [cEuro/anno]</t>
  </si>
  <si>
    <t>costo assicurazione [cEuro/anno]</t>
  </si>
  <si>
    <t>2 cogen 312 C202</t>
  </si>
  <si>
    <t>1 cogen 312 C202</t>
  </si>
  <si>
    <t>intercetta ore</t>
  </si>
  <si>
    <t>energia th [kwh/y]</t>
  </si>
  <si>
    <t>energia el [kwh/y]</t>
  </si>
  <si>
    <t>1° cogen</t>
  </si>
  <si>
    <t>2° cogen</t>
  </si>
  <si>
    <t>valore 1 TEE</t>
  </si>
  <si>
    <t>valore tot TEE</t>
  </si>
  <si>
    <t>COSTO INIZIALE IMPIANTO</t>
  </si>
  <si>
    <t>Ore
[h]</t>
  </si>
  <si>
    <t>Potenza di picco
[MW]</t>
  </si>
  <si>
    <t>PIENO REGIME th</t>
  </si>
  <si>
    <t>Ora [h]</t>
  </si>
  <si>
    <t>Pth [MW]</t>
  </si>
  <si>
    <t>3 cogen 312 C202</t>
  </si>
  <si>
    <t>3° cogen</t>
  </si>
  <si>
    <t>Power (kWel)</t>
  </si>
  <si>
    <t>kW</t>
  </si>
  <si>
    <t>Power (kWth)</t>
  </si>
  <si>
    <t>Rata</t>
  </si>
  <si>
    <t>€</t>
  </si>
  <si>
    <t>autocons.</t>
  </si>
  <si>
    <t>Degradation</t>
  </si>
  <si>
    <t>risparmio</t>
  </si>
  <si>
    <t>€/kWh</t>
  </si>
  <si>
    <t>Inflation</t>
  </si>
  <si>
    <t>Turn key + autorization (€)</t>
  </si>
  <si>
    <t>Tariffa energia</t>
  </si>
  <si>
    <t>Total Investment (€)</t>
  </si>
  <si>
    <t>IRES</t>
  </si>
  <si>
    <t>IRAP</t>
  </si>
  <si>
    <t>Equity  (outflow) (€)</t>
  </si>
  <si>
    <t>anni</t>
  </si>
  <si>
    <t>IMU</t>
  </si>
  <si>
    <t>Refinancing Base Euribor 3 months</t>
  </si>
  <si>
    <t>www.euribor.it/</t>
  </si>
  <si>
    <t>Spread</t>
  </si>
  <si>
    <t>Interest Rate</t>
  </si>
  <si>
    <t>WACC</t>
  </si>
  <si>
    <t>Duration (m) calcolo</t>
  </si>
  <si>
    <t>mesi</t>
  </si>
  <si>
    <t>Duration</t>
  </si>
  <si>
    <t>PIANO ECONOMICO FINANZIARIO</t>
  </si>
  <si>
    <t>Anni</t>
  </si>
  <si>
    <t>TOTALE</t>
  </si>
  <si>
    <t>Generazione Elettrica</t>
  </si>
  <si>
    <t>kWh</t>
  </si>
  <si>
    <t>Previsione PUN</t>
  </si>
  <si>
    <t>Ricavo da Tariffa Incentivante</t>
  </si>
  <si>
    <t>Generazione termica</t>
  </si>
  <si>
    <t>Previsione vendita calore</t>
  </si>
  <si>
    <t>Ricavo</t>
  </si>
  <si>
    <t>Titoli TEE</t>
  </si>
  <si>
    <t>Inflazione</t>
  </si>
  <si>
    <t>Fattore d'Inflazione</t>
  </si>
  <si>
    <t>Ricavi totali (Erning)</t>
  </si>
  <si>
    <t>Combustibile</t>
  </si>
  <si>
    <t>Manutenzione</t>
  </si>
  <si>
    <t>Conduzione</t>
  </si>
  <si>
    <t>O&amp;M e assicurazione</t>
  </si>
  <si>
    <t>Costi Totali</t>
  </si>
  <si>
    <t>Flussi di Cassa Operativi (EBITDA - margine operativo lordo)</t>
  </si>
  <si>
    <t xml:space="preserve">Rata (ipotesi) </t>
  </si>
  <si>
    <t xml:space="preserve">Ammortamento </t>
  </si>
  <si>
    <t>Riscatto</t>
  </si>
  <si>
    <t>Profitti ante imposte (EBIT)</t>
  </si>
  <si>
    <t>Ires (Imposta Redditi Societari)</t>
  </si>
  <si>
    <t>Irap (Imposta Regionale Attività Produttive)</t>
  </si>
  <si>
    <t>Net Cash Flow</t>
  </si>
  <si>
    <t>Cash Flow Cumulativo</t>
  </si>
  <si>
    <t xml:space="preserve">Cash flow cumulato (25 anni) </t>
  </si>
  <si>
    <t>ROI 1° anno</t>
  </si>
  <si>
    <t>ROE 1° anno</t>
  </si>
  <si>
    <t>Tempo Ritorno Investimento (anni)</t>
  </si>
  <si>
    <t>VAN: valore dei flussi di cassa attesi attualizzati mediante un dato tasso di rendimento</t>
  </si>
  <si>
    <t>TIR: tasso di ritorno effettivo generato da un investimento. In generale un progetto viene perseguito quando il TIR risulta essere maggiore del costo del capitale per quell'investimento</t>
  </si>
  <si>
    <t>ROI: indice di redditività del capitale investito. Calcolato come rapporto tra risultato operativo e capitale investito netto.</t>
  </si>
  <si>
    <t>ROE: è l'indicatore del grado di remunerazione del rischio affrontato dall'imprenditore e dai soci. Calcolato come rapporto tra utile netto e patrimonio netto</t>
  </si>
  <si>
    <t>Volume totale</t>
  </si>
  <si>
    <t>energia immessa [Kwh/y]</t>
  </si>
  <si>
    <t>rend</t>
  </si>
  <si>
    <t>sup a soglia</t>
  </si>
  <si>
    <t>potenza [Kw]</t>
  </si>
  <si>
    <t>costo tot [euro]</t>
  </si>
  <si>
    <t>costo spec [euro/Kw]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</si>
</sst>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€&quot;;[Red]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  <numFmt numFmtId="166" formatCode="_-* #,##0.00_-;\-* #,##0.00_-;_-* &quot;-&quot;?_-;_-@_-"/>
    <numFmt numFmtId="167" formatCode="0.0%"/>
    <numFmt numFmtId="168" formatCode="0.000"/>
    <numFmt numFmtId="169" formatCode="_-* #,##0_-;\-* #,##0_-;_-* &quot;-&quot;??_-;_-@_-"/>
    <numFmt numFmtId="170" formatCode="#,##0_%_);\(#,##0\)_%;#,##0_%_);@_%_)"/>
    <numFmt numFmtId="171" formatCode="#,##0.000_%_);\(#,##0.000\)_%;#,##0.000_%_);@_%_)"/>
    <numFmt numFmtId="172" formatCode="&quot;€&quot;\ #,##0.00;[Red]\-&quot;€&quot;\ #,##0.00"/>
    <numFmt numFmtId="173" formatCode="#,##0.00_%_);\(#,##0.00\)_%;#,##0.00_%_);@_%_)"/>
    <numFmt numFmtId="174" formatCode="_-&quot;€&quot;\ * #,##0_-;\-&quot;€&quot;\ * #,##0_-;_-&quot;€&quot;\ * &quot;-&quot;??_-;_-@_-"/>
    <numFmt numFmtId="175" formatCode="#,##0.000000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i/>
      <sz val="13"/>
      <name val="Calibri"/>
      <family val="2"/>
    </font>
    <font>
      <sz val="11"/>
      <color indexed="9"/>
      <name val="Calibri"/>
      <family val="2"/>
    </font>
    <font>
      <b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b/>
      <sz val="11"/>
      <color indexed="10"/>
      <name val="Calibri"/>
      <family val="2"/>
    </font>
    <font>
      <sz val="11"/>
      <name val="Segoe UI Light"/>
      <family val="2"/>
    </font>
    <font>
      <b/>
      <sz val="11"/>
      <color indexed="9"/>
      <name val="Calibri"/>
      <family val="2"/>
    </font>
    <font>
      <b/>
      <sz val="12"/>
      <name val="Calibri"/>
      <family val="2"/>
    </font>
    <font>
      <b/>
      <sz val="12"/>
      <color indexed="9"/>
      <name val="Calibri Light"/>
      <family val="2"/>
    </font>
    <font>
      <sz val="12"/>
      <color indexed="9"/>
      <name val="Calibri Light"/>
      <family val="2"/>
    </font>
    <font>
      <b/>
      <sz val="12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0" applyFill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166" fontId="3" fillId="0" borderId="2" xfId="0" applyNumberFormat="1" applyFont="1" applyBorder="1"/>
    <xf numFmtId="0" fontId="5" fillId="4" borderId="2" xfId="0" applyFont="1" applyFill="1" applyBorder="1"/>
    <xf numFmtId="1" fontId="3" fillId="0" borderId="2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8" fillId="0" borderId="0" xfId="0" applyFont="1"/>
    <xf numFmtId="0" fontId="9" fillId="0" borderId="0" xfId="0" applyFont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10" fillId="0" borderId="3" xfId="0" applyFont="1" applyBorder="1"/>
    <xf numFmtId="4" fontId="8" fillId="0" borderId="3" xfId="0" applyNumberFormat="1" applyFont="1" applyBorder="1"/>
    <xf numFmtId="0" fontId="11" fillId="0" borderId="3" xfId="0" applyFont="1" applyBorder="1"/>
    <xf numFmtId="0" fontId="9" fillId="5" borderId="0" xfId="0" applyFont="1" applyFill="1"/>
    <xf numFmtId="4" fontId="9" fillId="5" borderId="0" xfId="0" applyNumberFormat="1" applyFont="1" applyFill="1"/>
    <xf numFmtId="3" fontId="8" fillId="0" borderId="3" xfId="0" applyNumberFormat="1" applyFont="1" applyBorder="1"/>
    <xf numFmtId="0" fontId="9" fillId="0" borderId="3" xfId="0" applyFont="1" applyBorder="1"/>
    <xf numFmtId="0" fontId="11" fillId="6" borderId="3" xfId="0" applyFont="1" applyFill="1" applyBorder="1"/>
    <xf numFmtId="9" fontId="8" fillId="0" borderId="3" xfId="4" applyFont="1" applyFill="1" applyBorder="1"/>
    <xf numFmtId="0" fontId="8" fillId="0" borderId="3" xfId="0" applyFont="1" applyBorder="1"/>
    <xf numFmtId="167" fontId="8" fillId="0" borderId="3" xfId="0" applyNumberFormat="1" applyFont="1" applyBorder="1"/>
    <xf numFmtId="10" fontId="8" fillId="0" borderId="3" xfId="0" applyNumberFormat="1" applyFont="1" applyBorder="1"/>
    <xf numFmtId="168" fontId="8" fillId="0" borderId="3" xfId="0" applyNumberFormat="1" applyFont="1" applyBorder="1"/>
    <xf numFmtId="9" fontId="8" fillId="0" borderId="3" xfId="0" applyNumberFormat="1" applyFont="1" applyBorder="1"/>
    <xf numFmtId="0" fontId="11" fillId="3" borderId="3" xfId="0" applyFont="1" applyFill="1" applyBorder="1"/>
    <xf numFmtId="10" fontId="8" fillId="3" borderId="3" xfId="0" applyNumberFormat="1" applyFont="1" applyFill="1" applyBorder="1"/>
    <xf numFmtId="0" fontId="12" fillId="3" borderId="3" xfId="5" applyFont="1" applyFill="1" applyBorder="1" applyAlignment="1" applyProtection="1"/>
    <xf numFmtId="0" fontId="0" fillId="3" borderId="0" xfId="0" applyFill="1"/>
    <xf numFmtId="10" fontId="9" fillId="0" borderId="0" xfId="0" applyNumberFormat="1" applyFont="1"/>
    <xf numFmtId="0" fontId="9" fillId="3" borderId="0" xfId="0" applyFont="1" applyFill="1"/>
    <xf numFmtId="2" fontId="9" fillId="0" borderId="0" xfId="0" applyNumberFormat="1" applyFont="1"/>
    <xf numFmtId="169" fontId="9" fillId="0" borderId="0" xfId="3" applyNumberFormat="1" applyFont="1"/>
    <xf numFmtId="3" fontId="9" fillId="0" borderId="0" xfId="0" applyNumberFormat="1" applyFont="1"/>
    <xf numFmtId="10" fontId="9" fillId="0" borderId="0" xfId="4" applyNumberFormat="1" applyFont="1"/>
    <xf numFmtId="0" fontId="11" fillId="3" borderId="0" xfId="0" applyFont="1" applyFill="1"/>
    <xf numFmtId="0" fontId="8" fillId="3" borderId="0" xfId="0" applyFont="1" applyFill="1"/>
    <xf numFmtId="0" fontId="13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4" fillId="7" borderId="4" xfId="0" applyFont="1" applyFill="1" applyBorder="1" applyAlignment="1">
      <alignment horizontal="center"/>
    </xf>
    <xf numFmtId="0" fontId="15" fillId="8" borderId="3" xfId="0" applyFont="1" applyFill="1" applyBorder="1"/>
    <xf numFmtId="0" fontId="16" fillId="8" borderId="3" xfId="0" applyFont="1" applyFill="1" applyBorder="1"/>
    <xf numFmtId="0" fontId="15" fillId="8" borderId="3" xfId="0" applyFont="1" applyFill="1" applyBorder="1" applyAlignment="1">
      <alignment horizontal="center"/>
    </xf>
    <xf numFmtId="0" fontId="17" fillId="0" borderId="0" xfId="0" applyFont="1"/>
    <xf numFmtId="0" fontId="9" fillId="5" borderId="3" xfId="0" applyFont="1" applyFill="1" applyBorder="1"/>
    <xf numFmtId="170" fontId="9" fillId="0" borderId="3" xfId="0" applyNumberFormat="1" applyFont="1" applyBorder="1"/>
    <xf numFmtId="0" fontId="9" fillId="0" borderId="3" xfId="0" applyFont="1" applyBorder="1" applyAlignment="1">
      <alignment horizontal="center"/>
    </xf>
    <xf numFmtId="170" fontId="9" fillId="5" borderId="3" xfId="0" applyNumberFormat="1" applyFont="1" applyFill="1" applyBorder="1"/>
    <xf numFmtId="167" fontId="9" fillId="5" borderId="3" xfId="4" applyNumberFormat="1" applyFont="1" applyFill="1" applyBorder="1" applyAlignment="1"/>
    <xf numFmtId="168" fontId="9" fillId="5" borderId="3" xfId="0" applyNumberFormat="1" applyFont="1" applyFill="1" applyBorder="1"/>
    <xf numFmtId="0" fontId="9" fillId="5" borderId="3" xfId="0" applyFont="1" applyFill="1" applyBorder="1" applyAlignment="1">
      <alignment horizontal="center"/>
    </xf>
    <xf numFmtId="171" fontId="9" fillId="0" borderId="3" xfId="0" applyNumberFormat="1" applyFont="1" applyBorder="1"/>
    <xf numFmtId="171" fontId="9" fillId="5" borderId="3" xfId="0" applyNumberFormat="1" applyFont="1" applyFill="1" applyBorder="1"/>
    <xf numFmtId="10" fontId="9" fillId="5" borderId="3" xfId="4" applyNumberFormat="1" applyFont="1" applyFill="1" applyBorder="1" applyAlignment="1"/>
    <xf numFmtId="0" fontId="0" fillId="0" borderId="5" xfId="0" applyBorder="1"/>
    <xf numFmtId="0" fontId="9" fillId="0" borderId="6" xfId="0" applyFont="1" applyBorder="1" applyAlignment="1">
      <alignment horizontal="center"/>
    </xf>
    <xf numFmtId="170" fontId="9" fillId="0" borderId="6" xfId="0" applyNumberFormat="1" applyFont="1" applyBorder="1"/>
    <xf numFmtId="10" fontId="9" fillId="5" borderId="3" xfId="0" applyNumberFormat="1" applyFont="1" applyFill="1" applyBorder="1" applyAlignment="1">
      <alignment horizontal="left"/>
    </xf>
    <xf numFmtId="0" fontId="9" fillId="5" borderId="3" xfId="0" applyFont="1" applyFill="1" applyBorder="1" applyAlignment="1">
      <alignment horizontal="right"/>
    </xf>
    <xf numFmtId="0" fontId="9" fillId="5" borderId="7" xfId="0" applyFont="1" applyFill="1" applyBorder="1"/>
    <xf numFmtId="0" fontId="9" fillId="0" borderId="7" xfId="0" applyFont="1" applyBorder="1"/>
    <xf numFmtId="0" fontId="9" fillId="5" borderId="7" xfId="0" applyFont="1" applyFill="1" applyBorder="1" applyAlignment="1">
      <alignment horizontal="right"/>
    </xf>
    <xf numFmtId="168" fontId="9" fillId="5" borderId="7" xfId="0" applyNumberFormat="1" applyFont="1" applyFill="1" applyBorder="1"/>
    <xf numFmtId="0" fontId="9" fillId="5" borderId="7" xfId="0" applyFont="1" applyFill="1" applyBorder="1" applyAlignment="1">
      <alignment horizontal="center"/>
    </xf>
    <xf numFmtId="170" fontId="9" fillId="5" borderId="7" xfId="0" applyNumberFormat="1" applyFont="1" applyFill="1" applyBorder="1"/>
    <xf numFmtId="0" fontId="9" fillId="5" borderId="8" xfId="0" applyFont="1" applyFill="1" applyBorder="1"/>
    <xf numFmtId="0" fontId="9" fillId="0" borderId="8" xfId="0" applyFont="1" applyBorder="1"/>
    <xf numFmtId="0" fontId="9" fillId="5" borderId="8" xfId="0" applyFont="1" applyFill="1" applyBorder="1" applyAlignment="1">
      <alignment horizontal="right"/>
    </xf>
    <xf numFmtId="168" fontId="9" fillId="5" borderId="8" xfId="0" applyNumberFormat="1" applyFont="1" applyFill="1" applyBorder="1"/>
    <xf numFmtId="170" fontId="9" fillId="5" borderId="8" xfId="0" applyNumberFormat="1" applyFont="1" applyFill="1" applyBorder="1"/>
    <xf numFmtId="0" fontId="9" fillId="5" borderId="9" xfId="0" applyFont="1" applyFill="1" applyBorder="1"/>
    <xf numFmtId="0" fontId="9" fillId="0" borderId="9" xfId="0" applyFont="1" applyBorder="1"/>
    <xf numFmtId="0" fontId="9" fillId="5" borderId="9" xfId="0" applyFont="1" applyFill="1" applyBorder="1" applyAlignment="1">
      <alignment horizontal="right"/>
    </xf>
    <xf numFmtId="168" fontId="9" fillId="5" borderId="9" xfId="0" applyNumberFormat="1" applyFont="1" applyFill="1" applyBorder="1"/>
    <xf numFmtId="0" fontId="9" fillId="5" borderId="9" xfId="0" applyFont="1" applyFill="1" applyBorder="1" applyAlignment="1">
      <alignment horizontal="center"/>
    </xf>
    <xf numFmtId="170" fontId="9" fillId="5" borderId="9" xfId="0" applyNumberFormat="1" applyFont="1" applyFill="1" applyBorder="1"/>
    <xf numFmtId="0" fontId="18" fillId="5" borderId="3" xfId="0" applyFont="1" applyFill="1" applyBorder="1" applyAlignment="1">
      <alignment horizontal="right"/>
    </xf>
    <xf numFmtId="10" fontId="9" fillId="5" borderId="3" xfId="0" applyNumberFormat="1" applyFont="1" applyFill="1" applyBorder="1"/>
    <xf numFmtId="170" fontId="15" fillId="8" borderId="3" xfId="0" applyNumberFormat="1" applyFont="1" applyFill="1" applyBorder="1"/>
    <xf numFmtId="172" fontId="9" fillId="0" borderId="3" xfId="3" applyNumberFormat="1" applyFont="1" applyFill="1" applyBorder="1"/>
    <xf numFmtId="3" fontId="9" fillId="5" borderId="3" xfId="0" applyNumberFormat="1" applyFont="1" applyFill="1" applyBorder="1"/>
    <xf numFmtId="3" fontId="9" fillId="0" borderId="3" xfId="0" applyNumberFormat="1" applyFont="1" applyBorder="1"/>
    <xf numFmtId="8" fontId="9" fillId="0" borderId="3" xfId="0" applyNumberFormat="1" applyFont="1" applyBorder="1"/>
    <xf numFmtId="173" fontId="9" fillId="5" borderId="3" xfId="0" applyNumberFormat="1" applyFont="1" applyFill="1" applyBorder="1"/>
    <xf numFmtId="173" fontId="19" fillId="5" borderId="3" xfId="0" applyNumberFormat="1" applyFont="1" applyFill="1" applyBorder="1"/>
    <xf numFmtId="3" fontId="15" fillId="8" borderId="3" xfId="0" applyNumberFormat="1" applyFont="1" applyFill="1" applyBorder="1" applyAlignment="1">
      <alignment horizontal="center"/>
    </xf>
    <xf numFmtId="170" fontId="20" fillId="8" borderId="3" xfId="0" applyNumberFormat="1" applyFont="1" applyFill="1" applyBorder="1"/>
    <xf numFmtId="0" fontId="14" fillId="8" borderId="3" xfId="0" applyFont="1" applyFill="1" applyBorder="1"/>
    <xf numFmtId="3" fontId="20" fillId="8" borderId="3" xfId="0" applyNumberFormat="1" applyFont="1" applyFill="1" applyBorder="1" applyAlignment="1">
      <alignment horizontal="center"/>
    </xf>
    <xf numFmtId="174" fontId="21" fillId="9" borderId="3" xfId="2" applyNumberFormat="1" applyFont="1" applyFill="1" applyBorder="1" applyAlignment="1">
      <alignment horizontal="center"/>
    </xf>
    <xf numFmtId="9" fontId="17" fillId="0" borderId="0" xfId="4" applyFont="1"/>
    <xf numFmtId="10" fontId="21" fillId="9" borderId="3" xfId="0" applyNumberFormat="1" applyFont="1" applyFill="1" applyBorder="1" applyAlignment="1">
      <alignment horizontal="center"/>
    </xf>
    <xf numFmtId="175" fontId="17" fillId="0" borderId="0" xfId="0" applyNumberFormat="1" applyFont="1"/>
    <xf numFmtId="0" fontId="15" fillId="8" borderId="10" xfId="0" applyFont="1" applyFill="1" applyBorder="1"/>
    <xf numFmtId="0" fontId="16" fillId="8" borderId="11" xfId="0" applyFont="1" applyFill="1" applyBorder="1"/>
    <xf numFmtId="10" fontId="21" fillId="9" borderId="12" xfId="0" applyNumberFormat="1" applyFont="1" applyFill="1" applyBorder="1" applyAlignment="1">
      <alignment horizontal="center"/>
    </xf>
    <xf numFmtId="0" fontId="22" fillId="8" borderId="3" xfId="0" applyFont="1" applyFill="1" applyBorder="1"/>
    <xf numFmtId="0" fontId="23" fillId="8" borderId="3" xfId="0" applyFont="1" applyFill="1" applyBorder="1"/>
    <xf numFmtId="1" fontId="24" fillId="9" borderId="3" xfId="0" applyNumberFormat="1" applyFont="1" applyFill="1" applyBorder="1" applyAlignment="1">
      <alignment horizontal="center"/>
    </xf>
    <xf numFmtId="0" fontId="20" fillId="0" borderId="0" xfId="0" applyFont="1"/>
    <xf numFmtId="0" fontId="14" fillId="0" borderId="0" xfId="0" applyFont="1"/>
    <xf numFmtId="10" fontId="8" fillId="0" borderId="0" xfId="0" applyNumberFormat="1" applyFont="1" applyAlignment="1">
      <alignment horizontal="center"/>
    </xf>
    <xf numFmtId="20" fontId="11" fillId="0" borderId="0" xfId="0" applyNumberFormat="1" applyFont="1"/>
    <xf numFmtId="165" fontId="0" fillId="0" borderId="1" xfId="0" applyNumberFormat="1" applyBorder="1" applyAlignment="1">
      <alignment horizontal="right"/>
    </xf>
    <xf numFmtId="165" fontId="0" fillId="0" borderId="1" xfId="0" applyNumberFormat="1" applyBorder="1"/>
    <xf numFmtId="166" fontId="0" fillId="0" borderId="1" xfId="0" applyNumberFormat="1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Fill="1" applyBorder="1"/>
    <xf numFmtId="0" fontId="0" fillId="0" borderId="19" xfId="0" applyBorder="1"/>
    <xf numFmtId="0" fontId="1" fillId="0" borderId="20" xfId="0" applyFont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1" fontId="0" fillId="0" borderId="17" xfId="0" applyNumberFormat="1" applyBorder="1"/>
    <xf numFmtId="0" fontId="0" fillId="0" borderId="18" xfId="0" applyBorder="1"/>
    <xf numFmtId="1" fontId="0" fillId="0" borderId="20" xfId="0" applyNumberFormat="1" applyBorder="1"/>
    <xf numFmtId="0" fontId="0" fillId="0" borderId="21" xfId="0" applyBorder="1"/>
    <xf numFmtId="0" fontId="0" fillId="0" borderId="22" xfId="0" applyBorder="1"/>
    <xf numFmtId="1" fontId="0" fillId="0" borderId="23" xfId="0" applyNumberFormat="1" applyBorder="1"/>
    <xf numFmtId="0" fontId="4" fillId="4" borderId="0" xfId="0" applyFont="1" applyFill="1" applyAlignment="1">
      <alignment horizontal="center"/>
    </xf>
  </cellXfs>
  <cellStyles count="6">
    <cellStyle name="Collegamento ipertestuale" xfId="5" builtinId="8"/>
    <cellStyle name="Migliaia" xfId="3" builtinId="3"/>
    <cellStyle name="Migliaia 2" xfId="1" xr:uid="{97C2DA22-DA5F-470A-825D-410F143C8D02}"/>
    <cellStyle name="Normale" xfId="0" builtinId="0"/>
    <cellStyle name="Percentuale" xfId="4" builtinId="5"/>
    <cellStyle name="Valuta 2" xfId="2" xr:uid="{2ADAF37A-E847-40E2-9BDC-CBB7557D5305}"/>
  </cellStyles>
  <dxfs count="0"/>
  <tableStyles count="0" defaultTableStyle="TableStyleMedium2" defaultPivotStyle="PivotStyleLight16"/>
  <colors>
    <mruColors>
      <color rgb="FFF810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potenza dei cogeneratori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Calcolo!$C$3:$C$20</c:f>
              <c:numCache>
                <c:formatCode>General</c:formatCode>
                <c:ptCount val="18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3451</c:v>
                </c:pt>
                <c:pt idx="7">
                  <c:v>4015</c:v>
                </c:pt>
                <c:pt idx="8">
                  <c:v>4745</c:v>
                </c:pt>
                <c:pt idx="9">
                  <c:v>4975</c:v>
                </c:pt>
                <c:pt idx="10">
                  <c:v>5475</c:v>
                </c:pt>
                <c:pt idx="11">
                  <c:v>6205</c:v>
                </c:pt>
                <c:pt idx="12">
                  <c:v>6403</c:v>
                </c:pt>
                <c:pt idx="13">
                  <c:v>6935</c:v>
                </c:pt>
                <c:pt idx="14">
                  <c:v>7665</c:v>
                </c:pt>
                <c:pt idx="15">
                  <c:v>7665</c:v>
                </c:pt>
                <c:pt idx="16">
                  <c:v>8395</c:v>
                </c:pt>
                <c:pt idx="17">
                  <c:v>8760</c:v>
                </c:pt>
              </c:numCache>
            </c:numRef>
          </c:xVal>
          <c:yVal>
            <c:numRef>
              <c:f>Calcolo!$E$3:$E$20</c:f>
              <c:numCache>
                <c:formatCode>_-* #,##0.00\ _€_-;\-* #,##0.00\ _€_-;_-* "-"??\ _€_-;_-@_-</c:formatCode>
                <c:ptCount val="18"/>
                <c:pt idx="0">
                  <c:v>2.8598194290670071</c:v>
                </c:pt>
                <c:pt idx="1">
                  <c:v>2.7951539222054715</c:v>
                </c:pt>
                <c:pt idx="2">
                  <c:v>2.6235396356468126</c:v>
                </c:pt>
                <c:pt idx="3">
                  <c:v>2.5288218099620297</c:v>
                </c:pt>
                <c:pt idx="4">
                  <c:v>2.1382343240023207</c:v>
                </c:pt>
                <c:pt idx="5">
                  <c:v>2.1002957166492302</c:v>
                </c:pt>
                <c:pt idx="6">
                  <c:v>1.9770000000000001</c:v>
                </c:pt>
                <c:pt idx="7">
                  <c:v>1.5589730474448567</c:v>
                </c:pt>
                <c:pt idx="8">
                  <c:v>1.4861638666575967</c:v>
                </c:pt>
                <c:pt idx="9">
                  <c:v>1.3180000000000001</c:v>
                </c:pt>
                <c:pt idx="10">
                  <c:v>0.95146114983532237</c:v>
                </c:pt>
                <c:pt idx="11">
                  <c:v>0.72689753963570281</c:v>
                </c:pt>
                <c:pt idx="12">
                  <c:v>0.65900000000000003</c:v>
                </c:pt>
                <c:pt idx="13">
                  <c:v>0.47663657151116789</c:v>
                </c:pt>
                <c:pt idx="14">
                  <c:v>0.47663657151116789</c:v>
                </c:pt>
                <c:pt idx="15">
                  <c:v>0.47663657151116789</c:v>
                </c:pt>
                <c:pt idx="16">
                  <c:v>0.47663657151116789</c:v>
                </c:pt>
                <c:pt idx="17">
                  <c:v>0.47663657151116789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4-42C5-AAE9-D07BF165C84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Calcolo!$C$3:$C$20</c:f>
              <c:numCache>
                <c:formatCode>General</c:formatCode>
                <c:ptCount val="18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3451</c:v>
                </c:pt>
                <c:pt idx="7">
                  <c:v>4015</c:v>
                </c:pt>
                <c:pt idx="8">
                  <c:v>4745</c:v>
                </c:pt>
                <c:pt idx="9">
                  <c:v>4975</c:v>
                </c:pt>
                <c:pt idx="10">
                  <c:v>5475</c:v>
                </c:pt>
                <c:pt idx="11">
                  <c:v>6205</c:v>
                </c:pt>
                <c:pt idx="12">
                  <c:v>6403</c:v>
                </c:pt>
                <c:pt idx="13">
                  <c:v>6935</c:v>
                </c:pt>
                <c:pt idx="14">
                  <c:v>7665</c:v>
                </c:pt>
                <c:pt idx="15">
                  <c:v>7665</c:v>
                </c:pt>
                <c:pt idx="16">
                  <c:v>8395</c:v>
                </c:pt>
                <c:pt idx="17">
                  <c:v>8760</c:v>
                </c:pt>
              </c:numCache>
            </c:numRef>
          </c:xVal>
          <c:yVal>
            <c:numRef>
              <c:f>Calcolo!$F$3:$F$20</c:f>
              <c:numCache>
                <c:formatCode>General</c:formatCode>
                <c:ptCount val="18"/>
                <c:pt idx="0">
                  <c:v>0.65900000000000003</c:v>
                </c:pt>
                <c:pt idx="1">
                  <c:v>0.65900000000000003</c:v>
                </c:pt>
                <c:pt idx="2">
                  <c:v>0.65900000000000003</c:v>
                </c:pt>
                <c:pt idx="3">
                  <c:v>0.65900000000000003</c:v>
                </c:pt>
                <c:pt idx="4">
                  <c:v>0.65900000000000003</c:v>
                </c:pt>
                <c:pt idx="5">
                  <c:v>0.65900000000000003</c:v>
                </c:pt>
                <c:pt idx="6">
                  <c:v>0.65900000000000003</c:v>
                </c:pt>
                <c:pt idx="7">
                  <c:v>0.65900000000000003</c:v>
                </c:pt>
                <c:pt idx="8">
                  <c:v>0.65900000000000003</c:v>
                </c:pt>
                <c:pt idx="9">
                  <c:v>0.65900000000000003</c:v>
                </c:pt>
                <c:pt idx="10">
                  <c:v>0.65900000000000003</c:v>
                </c:pt>
                <c:pt idx="11">
                  <c:v>0.65900000000000003</c:v>
                </c:pt>
                <c:pt idx="12">
                  <c:v>0.65900000000000003</c:v>
                </c:pt>
                <c:pt idx="13" formatCode="_-* #,##0.00\ _€_-;\-* #,##0.00\ _€_-;_-* &quot;-&quot;??\ _€_-;_-@_-">
                  <c:v>0.47663657151116789</c:v>
                </c:pt>
                <c:pt idx="14" formatCode="_-* #,##0.00\ _€_-;\-* #,##0.00\ _€_-;_-* &quot;-&quot;??\ _€_-;_-@_-">
                  <c:v>0.47663657151116789</c:v>
                </c:pt>
                <c:pt idx="15" formatCode="_-* #,##0.00\ _€_-;\-* #,##0.00\ _€_-;_-* &quot;-&quot;??\ _€_-;_-@_-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44-42C5-AAE9-D07BF165C84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Calcolo!$C$3:$C$20</c:f>
              <c:numCache>
                <c:formatCode>General</c:formatCode>
                <c:ptCount val="18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3451</c:v>
                </c:pt>
                <c:pt idx="7">
                  <c:v>4015</c:v>
                </c:pt>
                <c:pt idx="8">
                  <c:v>4745</c:v>
                </c:pt>
                <c:pt idx="9">
                  <c:v>4975</c:v>
                </c:pt>
                <c:pt idx="10">
                  <c:v>5475</c:v>
                </c:pt>
                <c:pt idx="11">
                  <c:v>6205</c:v>
                </c:pt>
                <c:pt idx="12">
                  <c:v>6403</c:v>
                </c:pt>
                <c:pt idx="13">
                  <c:v>6935</c:v>
                </c:pt>
                <c:pt idx="14">
                  <c:v>7665</c:v>
                </c:pt>
                <c:pt idx="15">
                  <c:v>7665</c:v>
                </c:pt>
                <c:pt idx="16">
                  <c:v>8395</c:v>
                </c:pt>
                <c:pt idx="17">
                  <c:v>8760</c:v>
                </c:pt>
              </c:numCache>
            </c:numRef>
          </c:xVal>
          <c:yVal>
            <c:numRef>
              <c:f>Calcolo!$G$3:$G$20</c:f>
              <c:numCache>
                <c:formatCode>General</c:formatCode>
                <c:ptCount val="18"/>
                <c:pt idx="0">
                  <c:v>1.3180000000000001</c:v>
                </c:pt>
                <c:pt idx="1">
                  <c:v>1.3180000000000001</c:v>
                </c:pt>
                <c:pt idx="2">
                  <c:v>1.3180000000000001</c:v>
                </c:pt>
                <c:pt idx="3">
                  <c:v>1.3180000000000001</c:v>
                </c:pt>
                <c:pt idx="4">
                  <c:v>1.3180000000000001</c:v>
                </c:pt>
                <c:pt idx="5">
                  <c:v>1.3180000000000001</c:v>
                </c:pt>
                <c:pt idx="6">
                  <c:v>1.3180000000000001</c:v>
                </c:pt>
                <c:pt idx="7">
                  <c:v>1.3180000000000001</c:v>
                </c:pt>
                <c:pt idx="8">
                  <c:v>1.3180000000000001</c:v>
                </c:pt>
                <c:pt idx="9">
                  <c:v>1.3180000000000001</c:v>
                </c:pt>
                <c:pt idx="10" formatCode="_-* #,##0.00\ _€_-;\-* #,##0.00\ _€_-;_-* &quot;-&quot;??\ _€_-;_-@_-">
                  <c:v>0.95146114983532237</c:v>
                </c:pt>
                <c:pt idx="11" formatCode="_-* #,##0.00\ _€_-;\-* #,##0.00\ _€_-;_-* &quot;-&quot;??\ _€_-;_-@_-">
                  <c:v>0.72689753963570281</c:v>
                </c:pt>
                <c:pt idx="12" formatCode="_-* #,##0.00\ _€_-;\-* #,##0.00\ _€_-;_-* &quot;-&quot;??\ _€_-;_-@_-">
                  <c:v>0.65900000000000003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44-42C5-AAE9-D07BF165C84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Calcolo!$C$3:$C$20</c:f>
              <c:numCache>
                <c:formatCode>General</c:formatCode>
                <c:ptCount val="18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3451</c:v>
                </c:pt>
                <c:pt idx="7">
                  <c:v>4015</c:v>
                </c:pt>
                <c:pt idx="8">
                  <c:v>4745</c:v>
                </c:pt>
                <c:pt idx="9">
                  <c:v>4975</c:v>
                </c:pt>
                <c:pt idx="10">
                  <c:v>5475</c:v>
                </c:pt>
                <c:pt idx="11">
                  <c:v>6205</c:v>
                </c:pt>
                <c:pt idx="12">
                  <c:v>6403</c:v>
                </c:pt>
                <c:pt idx="13">
                  <c:v>6935</c:v>
                </c:pt>
                <c:pt idx="14">
                  <c:v>7665</c:v>
                </c:pt>
                <c:pt idx="15">
                  <c:v>7665</c:v>
                </c:pt>
                <c:pt idx="16">
                  <c:v>8395</c:v>
                </c:pt>
                <c:pt idx="17">
                  <c:v>8760</c:v>
                </c:pt>
              </c:numCache>
            </c:numRef>
          </c:xVal>
          <c:yVal>
            <c:numRef>
              <c:f>Calcolo!$H$3:$H$20</c:f>
              <c:numCache>
                <c:formatCode>General</c:formatCode>
                <c:ptCount val="18"/>
                <c:pt idx="0">
                  <c:v>1.9770000000000001</c:v>
                </c:pt>
                <c:pt idx="1">
                  <c:v>1.9770000000000001</c:v>
                </c:pt>
                <c:pt idx="2">
                  <c:v>1.9770000000000001</c:v>
                </c:pt>
                <c:pt idx="3">
                  <c:v>1.9770000000000001</c:v>
                </c:pt>
                <c:pt idx="4">
                  <c:v>1.9770000000000001</c:v>
                </c:pt>
                <c:pt idx="5">
                  <c:v>1.9770000000000001</c:v>
                </c:pt>
                <c:pt idx="6">
                  <c:v>1.9770000000000001</c:v>
                </c:pt>
                <c:pt idx="7" formatCode="_-* #,##0.00\ _€_-;\-* #,##0.00\ _€_-;_-* &quot;-&quot;??\ _€_-;_-@_-">
                  <c:v>1.5589730474448567</c:v>
                </c:pt>
                <c:pt idx="8" formatCode="_-* #,##0.00\ _€_-;\-* #,##0.00\ _€_-;_-* &quot;-&quot;??\ _€_-;_-@_-">
                  <c:v>1.4861638666575967</c:v>
                </c:pt>
                <c:pt idx="9" formatCode="_-* #,##0.00\ _€_-;\-* #,##0.00\ _€_-;_-* &quot;-&quot;??\ _€_-;_-@_-">
                  <c:v>1.3180000000000001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61-4B11-8C0E-D0540494E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282975"/>
        <c:axId val="2009282559"/>
      </c:scatterChart>
      <c:valAx>
        <c:axId val="2009282975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9282559"/>
        <c:crosses val="autoZero"/>
        <c:crossBetween val="midCat"/>
      </c:valAx>
      <c:valAx>
        <c:axId val="2009282559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termica [MW]</a:t>
                </a:r>
              </a:p>
            </c:rich>
          </c:tx>
          <c:layout>
            <c:manualLayout>
              <c:xMode val="edge"/>
              <c:yMode val="edge"/>
              <c:x val="1.0506039525044289E-2"/>
              <c:y val="0.34709508153487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9282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Calcolo!#REF!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Calcolo!#REF!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702-4F13-A940-4C9253F1E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828351"/>
        <c:axId val="88828767"/>
      </c:barChart>
      <c:catAx>
        <c:axId val="88828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828767"/>
        <c:crosses val="autoZero"/>
        <c:auto val="1"/>
        <c:lblAlgn val="ctr"/>
        <c:lblOffset val="100"/>
        <c:noMultiLvlLbl val="0"/>
      </c:catAx>
      <c:valAx>
        <c:axId val="8882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828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costo specifico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Calcolo!$C$121:$C$125</c:f>
              <c:numCache>
                <c:formatCode>General</c:formatCode>
                <c:ptCount val="5"/>
                <c:pt idx="0">
                  <c:v>200</c:v>
                </c:pt>
                <c:pt idx="1">
                  <c:v>600</c:v>
                </c:pt>
                <c:pt idx="2">
                  <c:v>2000</c:v>
                </c:pt>
                <c:pt idx="3">
                  <c:v>6000</c:v>
                </c:pt>
                <c:pt idx="4">
                  <c:v>20000</c:v>
                </c:pt>
              </c:numCache>
            </c:numRef>
          </c:xVal>
          <c:yVal>
            <c:numRef>
              <c:f>Calcolo!$E$121:$E$125</c:f>
              <c:numCache>
                <c:formatCode>0</c:formatCode>
                <c:ptCount val="5"/>
                <c:pt idx="0">
                  <c:v>7500</c:v>
                </c:pt>
                <c:pt idx="1">
                  <c:v>6250</c:v>
                </c:pt>
                <c:pt idx="2">
                  <c:v>4700</c:v>
                </c:pt>
                <c:pt idx="3">
                  <c:v>3300</c:v>
                </c:pt>
                <c:pt idx="4">
                  <c:v>1900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9C-4AB1-BD6E-731105DCD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39135"/>
        <c:axId val="53139551"/>
      </c:scatterChart>
      <c:valAx>
        <c:axId val="53139135"/>
        <c:scaling>
          <c:orientation val="minMax"/>
          <c:max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Taglia</a:t>
                </a:r>
                <a:r>
                  <a:rPr lang="it-IT" baseline="0"/>
                  <a:t> [kW]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139551"/>
        <c:crosses val="autoZero"/>
        <c:crossBetween val="midCat"/>
      </c:valAx>
      <c:valAx>
        <c:axId val="53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Costo specifico [€/kW]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139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Cash Flow cumulativo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'Piano economico'!$F$67:$AE$67</c:f>
              <c:numCache>
                <c:formatCode>#,##0_%_);\(#,##0\)_%;#,##0_%_);@_%_)</c:formatCode>
                <c:ptCount val="26"/>
                <c:pt idx="1">
                  <c:v>-3533110.4668528759</c:v>
                </c:pt>
                <c:pt idx="2">
                  <c:v>-3139472.1587348608</c:v>
                </c:pt>
                <c:pt idx="3">
                  <c:v>-2764176.3317711018</c:v>
                </c:pt>
                <c:pt idx="4">
                  <c:v>-2407314.6983673703</c:v>
                </c:pt>
                <c:pt idx="5">
                  <c:v>-2068979.429491465</c:v>
                </c:pt>
                <c:pt idx="6">
                  <c:v>-1749263.1569660264</c:v>
                </c:pt>
                <c:pt idx="7">
                  <c:v>-1448258.9757728064</c:v>
                </c:pt>
                <c:pt idx="8">
                  <c:v>-1166060.4463684659</c:v>
                </c:pt>
                <c:pt idx="9">
                  <c:v>-902761.59701194917</c:v>
                </c:pt>
                <c:pt idx="10">
                  <c:v>-658456.92610349529</c:v>
                </c:pt>
                <c:pt idx="11">
                  <c:v>-433241.40453534527</c:v>
                </c:pt>
                <c:pt idx="12">
                  <c:v>-227210.47805420001</c:v>
                </c:pt>
                <c:pt idx="13">
                  <c:v>-40460.06963549467</c:v>
                </c:pt>
                <c:pt idx="14">
                  <c:v>126913.41813045848</c:v>
                </c:pt>
                <c:pt idx="15">
                  <c:v>274813.10064039665</c:v>
                </c:pt>
                <c:pt idx="16">
                  <c:v>530684.16139159561</c:v>
                </c:pt>
                <c:pt idx="17">
                  <c:v>766886.19198908797</c:v>
                </c:pt>
                <c:pt idx="18">
                  <c:v>983320.84728210315</c:v>
                </c:pt>
                <c:pt idx="19">
                  <c:v>1179889.2903941202</c:v>
                </c:pt>
                <c:pt idx="20">
                  <c:v>1356492.1902642336</c:v>
                </c:pt>
                <c:pt idx="21">
                  <c:v>1513029.719176234</c:v>
                </c:pt>
                <c:pt idx="22">
                  <c:v>1649401.5502753307</c:v>
                </c:pt>
                <c:pt idx="23">
                  <c:v>1765506.8550724599</c:v>
                </c:pt>
                <c:pt idx="24">
                  <c:v>1861244.3009361117</c:v>
                </c:pt>
                <c:pt idx="25">
                  <c:v>1936512.048571618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3-4610-BCC4-037BEF93A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465503"/>
        <c:axId val="500439599"/>
      </c:barChart>
      <c:catAx>
        <c:axId val="515465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0439599"/>
        <c:crosses val="autoZero"/>
        <c:auto val="1"/>
        <c:lblAlgn val="ctr"/>
        <c:lblOffset val="100"/>
        <c:noMultiLvlLbl val="0"/>
      </c:catAx>
      <c:valAx>
        <c:axId val="50043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5465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24129</xdr:colOff>
      <xdr:row>1</xdr:row>
      <xdr:rowOff>8676</xdr:rowOff>
    </xdr:from>
    <xdr:to>
      <xdr:col>26</xdr:col>
      <xdr:colOff>419100</xdr:colOff>
      <xdr:row>27</xdr:row>
      <xdr:rowOff>53340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67E708E-E5EE-0DDD-723B-0F324FE9B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1000125</xdr:colOff>
      <xdr:row>89</xdr:row>
      <xdr:rowOff>0</xdr:rowOff>
    </xdr:from>
    <xdr:to>
      <xdr:col>8</xdr:col>
      <xdr:colOff>304800</xdr:colOff>
      <xdr:row>89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EB7C78-3CE2-BE34-01C4-37BAA347C2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1203960</xdr:colOff>
      <xdr:row>111</xdr:row>
      <xdr:rowOff>30480</xdr:rowOff>
    </xdr:from>
    <xdr:to>
      <xdr:col>9</xdr:col>
      <xdr:colOff>937260</xdr:colOff>
      <xdr:row>140</xdr:row>
      <xdr:rowOff>121920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BC345BB-6F57-BDE7-F809-BB7ED9E9C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1365250</xdr:colOff>
      <xdr:row>86</xdr:row>
      <xdr:rowOff>12700</xdr:rowOff>
    </xdr:from>
    <xdr:to>
      <xdr:col>8</xdr:col>
      <xdr:colOff>127000</xdr:colOff>
      <xdr:row>108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8A2338D-CA22-7500-EDEB-F463D4CD4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hyperlink" Target="http://www.euribor.it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E1CBA-BE70-40A2-AD8E-55E40F504877}">
  <dimension ref="C1:V143"/>
  <sheetViews>
    <sheetView tabSelected="1" topLeftCell="J1" zoomScaleNormal="100" workbookViewId="0">
      <selection activeCell="M13" sqref="M13"/>
    </sheetView>
  </sheetViews>
  <sheetFormatPr defaultRowHeight="14.4" x14ac:dyDescent="0.3"/>
  <cols>
    <col min="2" max="2" width="14.44140625" customWidth="1"/>
    <col min="3" max="3" width="46.6640625" customWidth="1"/>
    <col min="4" max="4" width="18.109375" customWidth="1"/>
    <col min="5" max="5" width="20.77734375" customWidth="1"/>
    <col min="6" max="6" width="49.5546875" customWidth="1"/>
    <col min="7" max="7" width="15.88671875" customWidth="1"/>
    <col min="8" max="8" width="21.109375" customWidth="1"/>
    <col min="9" max="9" width="33.21875" customWidth="1"/>
    <col min="10" max="10" width="14.88671875" customWidth="1"/>
    <col min="11" max="11" width="17.33203125" customWidth="1"/>
    <col min="12" max="12" width="19.5546875" customWidth="1"/>
    <col min="13" max="13" width="24.33203125" customWidth="1"/>
    <col min="14" max="14" width="10" bestFit="1" customWidth="1"/>
    <col min="18" max="18" width="10" bestFit="1" customWidth="1"/>
    <col min="22" max="22" width="10" bestFit="1" customWidth="1"/>
    <col min="43" max="43" width="10" bestFit="1" customWidth="1"/>
    <col min="45" max="45" width="12.77734375" customWidth="1"/>
    <col min="46" max="46" width="15" customWidth="1"/>
    <col min="47" max="47" width="14.33203125" customWidth="1"/>
    <col min="48" max="48" width="11.5546875" customWidth="1"/>
    <col min="49" max="49" width="12.33203125" customWidth="1"/>
  </cols>
  <sheetData>
    <row r="1" spans="3:8" x14ac:dyDescent="0.3">
      <c r="D1" s="1"/>
      <c r="F1" s="9"/>
      <c r="G1" s="9"/>
      <c r="H1" s="9"/>
    </row>
    <row r="2" spans="3:8" ht="27.6" x14ac:dyDescent="0.3">
      <c r="C2" s="11" t="s">
        <v>62</v>
      </c>
      <c r="D2" s="11" t="s">
        <v>131</v>
      </c>
      <c r="E2" s="11" t="s">
        <v>63</v>
      </c>
      <c r="F2" s="3"/>
      <c r="G2" s="3"/>
      <c r="H2" s="3"/>
    </row>
    <row r="3" spans="3:8" x14ac:dyDescent="0.3">
      <c r="C3" s="3">
        <v>0</v>
      </c>
      <c r="D3" s="12">
        <v>182250</v>
      </c>
      <c r="E3" s="13">
        <v>2.8598194290670071</v>
      </c>
      <c r="F3" s="3">
        <f>$D$26/1000</f>
        <v>0.65900000000000003</v>
      </c>
      <c r="G3" s="3">
        <f>F3*2</f>
        <v>1.3180000000000001</v>
      </c>
      <c r="H3" s="3">
        <f t="shared" ref="H3:H9" si="0">F3*3</f>
        <v>1.9770000000000001</v>
      </c>
    </row>
    <row r="4" spans="3:8" x14ac:dyDescent="0.3">
      <c r="C4" s="4">
        <v>365</v>
      </c>
      <c r="D4" s="12">
        <v>182250</v>
      </c>
      <c r="E4" s="13">
        <v>2.7951539222054715</v>
      </c>
      <c r="F4" s="3">
        <f t="shared" ref="F4:F15" si="1">$D$26/1000</f>
        <v>0.65900000000000003</v>
      </c>
      <c r="G4" s="3">
        <f t="shared" ref="G4:G12" si="2">F4*2</f>
        <v>1.3180000000000001</v>
      </c>
      <c r="H4" s="3">
        <f t="shared" si="0"/>
        <v>1.9770000000000001</v>
      </c>
    </row>
    <row r="5" spans="3:8" x14ac:dyDescent="0.3">
      <c r="C5" s="4">
        <v>1095</v>
      </c>
      <c r="D5" s="12">
        <v>182250</v>
      </c>
      <c r="E5" s="13">
        <v>2.6235396356468126</v>
      </c>
      <c r="F5" s="3">
        <f t="shared" si="1"/>
        <v>0.65900000000000003</v>
      </c>
      <c r="G5" s="3">
        <f t="shared" si="2"/>
        <v>1.3180000000000001</v>
      </c>
      <c r="H5" s="3">
        <f t="shared" si="0"/>
        <v>1.9770000000000001</v>
      </c>
    </row>
    <row r="6" spans="3:8" x14ac:dyDescent="0.3">
      <c r="C6" s="4">
        <v>1825</v>
      </c>
      <c r="D6" s="12">
        <v>182250</v>
      </c>
      <c r="E6" s="13">
        <v>2.5288218099620297</v>
      </c>
      <c r="F6" s="3">
        <f t="shared" si="1"/>
        <v>0.65900000000000003</v>
      </c>
      <c r="G6" s="3">
        <f t="shared" si="2"/>
        <v>1.3180000000000001</v>
      </c>
      <c r="H6" s="3">
        <f t="shared" si="0"/>
        <v>1.9770000000000001</v>
      </c>
    </row>
    <row r="7" spans="3:8" x14ac:dyDescent="0.3">
      <c r="C7" s="4">
        <v>2555</v>
      </c>
      <c r="D7" s="12">
        <v>182250</v>
      </c>
      <c r="E7" s="13">
        <v>2.1382343240023207</v>
      </c>
      <c r="F7" s="3">
        <f t="shared" si="1"/>
        <v>0.65900000000000003</v>
      </c>
      <c r="G7" s="3">
        <f t="shared" si="2"/>
        <v>1.3180000000000001</v>
      </c>
      <c r="H7" s="3">
        <f t="shared" si="0"/>
        <v>1.9770000000000001</v>
      </c>
    </row>
    <row r="8" spans="3:8" x14ac:dyDescent="0.3">
      <c r="C8" s="4">
        <v>3285</v>
      </c>
      <c r="D8" s="12">
        <v>182250</v>
      </c>
      <c r="E8" s="13">
        <v>2.1002957166492302</v>
      </c>
      <c r="F8" s="3">
        <f t="shared" si="1"/>
        <v>0.65900000000000003</v>
      </c>
      <c r="G8" s="3">
        <f t="shared" si="2"/>
        <v>1.3180000000000001</v>
      </c>
      <c r="H8" s="3">
        <f t="shared" si="0"/>
        <v>1.9770000000000001</v>
      </c>
    </row>
    <row r="9" spans="3:8" s="8" customFormat="1" x14ac:dyDescent="0.3">
      <c r="C9" s="4">
        <v>3451</v>
      </c>
      <c r="D9" s="12">
        <v>182250</v>
      </c>
      <c r="E9" s="13">
        <v>1.9770000000000001</v>
      </c>
      <c r="F9" s="3">
        <f t="shared" si="1"/>
        <v>0.65900000000000003</v>
      </c>
      <c r="G9" s="3">
        <f t="shared" si="2"/>
        <v>1.3180000000000001</v>
      </c>
      <c r="H9" s="3">
        <f t="shared" si="0"/>
        <v>1.9770000000000001</v>
      </c>
    </row>
    <row r="10" spans="3:8" x14ac:dyDescent="0.3">
      <c r="C10" s="4">
        <v>4015</v>
      </c>
      <c r="D10" s="12">
        <v>182250</v>
      </c>
      <c r="E10" s="13">
        <v>1.5589730474448567</v>
      </c>
      <c r="F10" s="3">
        <f t="shared" si="1"/>
        <v>0.65900000000000003</v>
      </c>
      <c r="G10" s="3">
        <f t="shared" si="2"/>
        <v>1.3180000000000001</v>
      </c>
      <c r="H10" s="121">
        <f>E10</f>
        <v>1.5589730474448567</v>
      </c>
    </row>
    <row r="11" spans="3:8" x14ac:dyDescent="0.3">
      <c r="C11" s="4">
        <v>4745</v>
      </c>
      <c r="D11" s="12">
        <v>182250</v>
      </c>
      <c r="E11" s="13">
        <v>1.4861638666575967</v>
      </c>
      <c r="F11" s="3">
        <f t="shared" si="1"/>
        <v>0.65900000000000003</v>
      </c>
      <c r="G11" s="3">
        <f t="shared" si="2"/>
        <v>1.3180000000000001</v>
      </c>
      <c r="H11" s="121">
        <f>E11</f>
        <v>1.4861638666575967</v>
      </c>
    </row>
    <row r="12" spans="3:8" s="8" customFormat="1" x14ac:dyDescent="0.3">
      <c r="C12" s="4">
        <v>4975</v>
      </c>
      <c r="D12" s="12">
        <v>182250</v>
      </c>
      <c r="E12" s="13">
        <v>1.3180000000000001</v>
      </c>
      <c r="F12" s="3">
        <f t="shared" si="1"/>
        <v>0.65900000000000003</v>
      </c>
      <c r="G12" s="3">
        <f t="shared" si="2"/>
        <v>1.3180000000000001</v>
      </c>
      <c r="H12" s="121">
        <f>E12</f>
        <v>1.3180000000000001</v>
      </c>
    </row>
    <row r="13" spans="3:8" x14ac:dyDescent="0.3">
      <c r="C13" s="4">
        <v>5475</v>
      </c>
      <c r="D13" s="12">
        <v>182250</v>
      </c>
      <c r="E13" s="13">
        <v>0.95146114983532237</v>
      </c>
      <c r="F13" s="3">
        <f t="shared" si="1"/>
        <v>0.65900000000000003</v>
      </c>
      <c r="G13" s="121">
        <f>E13</f>
        <v>0.95146114983532237</v>
      </c>
      <c r="H13" s="121"/>
    </row>
    <row r="14" spans="3:8" x14ac:dyDescent="0.3">
      <c r="C14" s="4">
        <v>6205</v>
      </c>
      <c r="D14" s="12">
        <v>182250</v>
      </c>
      <c r="E14" s="13">
        <v>0.72689753963570281</v>
      </c>
      <c r="F14" s="3">
        <f t="shared" si="1"/>
        <v>0.65900000000000003</v>
      </c>
      <c r="G14" s="121">
        <f>E14</f>
        <v>0.72689753963570281</v>
      </c>
      <c r="H14" s="121"/>
    </row>
    <row r="15" spans="3:8" s="8" customFormat="1" x14ac:dyDescent="0.3">
      <c r="C15" s="4">
        <v>6403</v>
      </c>
      <c r="D15" s="12">
        <v>182250</v>
      </c>
      <c r="E15" s="13">
        <v>0.65900000000000003</v>
      </c>
      <c r="F15" s="3">
        <f t="shared" si="1"/>
        <v>0.65900000000000003</v>
      </c>
      <c r="G15" s="121">
        <f>E15</f>
        <v>0.65900000000000003</v>
      </c>
      <c r="H15" s="121"/>
    </row>
    <row r="16" spans="3:8" x14ac:dyDescent="0.3">
      <c r="C16" s="4">
        <v>6935</v>
      </c>
      <c r="D16" s="12">
        <v>182250</v>
      </c>
      <c r="E16" s="13">
        <v>0.47663657151116789</v>
      </c>
      <c r="F16" s="121">
        <f>E16</f>
        <v>0.47663657151116789</v>
      </c>
      <c r="G16" s="121"/>
      <c r="H16" s="121"/>
    </row>
    <row r="17" spans="3:22" x14ac:dyDescent="0.3">
      <c r="C17" s="4">
        <v>7665</v>
      </c>
      <c r="D17" s="12">
        <v>182250</v>
      </c>
      <c r="E17" s="13">
        <v>0.47663657151116789</v>
      </c>
      <c r="F17" s="121">
        <f>E17</f>
        <v>0.47663657151116789</v>
      </c>
      <c r="G17" s="121"/>
      <c r="H17" s="121"/>
    </row>
    <row r="18" spans="3:22" s="8" customFormat="1" x14ac:dyDescent="0.3">
      <c r="C18" s="4">
        <v>7665</v>
      </c>
      <c r="D18" s="12">
        <v>182250</v>
      </c>
      <c r="E18" s="13">
        <v>0.47663657151116789</v>
      </c>
      <c r="F18" s="121">
        <v>0</v>
      </c>
      <c r="G18" s="121"/>
      <c r="H18" s="121"/>
    </row>
    <row r="19" spans="3:22" x14ac:dyDescent="0.3">
      <c r="C19" s="4">
        <v>8395</v>
      </c>
      <c r="D19" s="12">
        <v>182250</v>
      </c>
      <c r="E19" s="13">
        <v>0.47663657151116789</v>
      </c>
      <c r="F19" s="121"/>
      <c r="G19" s="121"/>
      <c r="H19" s="121"/>
    </row>
    <row r="20" spans="3:22" x14ac:dyDescent="0.3">
      <c r="C20" s="3">
        <v>8760</v>
      </c>
      <c r="D20" s="12">
        <v>182250</v>
      </c>
      <c r="E20" s="13">
        <v>0.47663657151116789</v>
      </c>
      <c r="F20" s="121"/>
      <c r="G20" s="121"/>
      <c r="H20" s="121"/>
    </row>
    <row r="22" spans="3:22" x14ac:dyDescent="0.3">
      <c r="C22" t="s">
        <v>3</v>
      </c>
    </row>
    <row r="23" spans="3:22" ht="15" thickBot="1" x14ac:dyDescent="0.35">
      <c r="I23" s="9"/>
      <c r="J23" s="9"/>
    </row>
    <row r="24" spans="3:22" x14ac:dyDescent="0.3">
      <c r="C24" s="6" t="s">
        <v>4</v>
      </c>
      <c r="D24" s="6" t="s">
        <v>44</v>
      </c>
      <c r="F24" s="3" t="s">
        <v>28</v>
      </c>
      <c r="G24" s="3">
        <v>0.8</v>
      </c>
      <c r="I24" s="123"/>
      <c r="J24" s="124" t="s">
        <v>54</v>
      </c>
      <c r="K24" s="124" t="s">
        <v>55</v>
      </c>
      <c r="L24" s="124" t="s">
        <v>56</v>
      </c>
      <c r="M24" s="125" t="s">
        <v>132</v>
      </c>
      <c r="N24" s="126" t="s">
        <v>133</v>
      </c>
    </row>
    <row r="25" spans="3:22" x14ac:dyDescent="0.3">
      <c r="C25" s="4" t="s">
        <v>5</v>
      </c>
      <c r="D25" s="4">
        <v>526</v>
      </c>
      <c r="F25" s="3" t="s">
        <v>50</v>
      </c>
      <c r="G25" s="3">
        <v>500000</v>
      </c>
      <c r="I25" s="127" t="s">
        <v>53</v>
      </c>
      <c r="J25" s="3">
        <f>I43</f>
        <v>6403</v>
      </c>
      <c r="K25" s="121">
        <f>J25*$D$26+V37</f>
        <v>4220227.0240252251</v>
      </c>
      <c r="L25" s="3">
        <f>U34*$D$25</f>
        <v>4031790</v>
      </c>
      <c r="M25" s="3"/>
      <c r="N25" s="128"/>
    </row>
    <row r="26" spans="3:22" x14ac:dyDescent="0.3">
      <c r="C26" s="4" t="s">
        <v>6</v>
      </c>
      <c r="D26" s="4">
        <v>659</v>
      </c>
      <c r="F26" s="3" t="s">
        <v>51</v>
      </c>
      <c r="G26" s="3">
        <v>250000</v>
      </c>
      <c r="I26" s="127" t="s">
        <v>52</v>
      </c>
      <c r="J26" s="3">
        <f>I39</f>
        <v>4975</v>
      </c>
      <c r="K26" s="121">
        <f>J26*$D$26+R37</f>
        <v>3278901.1180655397</v>
      </c>
      <c r="L26" s="3">
        <f>Q35*$D$25</f>
        <v>3367978</v>
      </c>
      <c r="M26" s="3"/>
      <c r="N26" s="128"/>
    </row>
    <row r="27" spans="3:22" x14ac:dyDescent="0.3">
      <c r="C27" s="4" t="s">
        <v>7</v>
      </c>
      <c r="D27" s="4">
        <v>0.38600000000000001</v>
      </c>
      <c r="F27" s="3"/>
      <c r="G27" s="3"/>
      <c r="I27" s="127" t="s">
        <v>67</v>
      </c>
      <c r="J27" s="7">
        <f>I35</f>
        <v>3451</v>
      </c>
      <c r="K27" s="121">
        <f>J27*$D$26+N37</f>
        <v>2274631.4662176925</v>
      </c>
      <c r="L27" s="3">
        <f>M35*$D$25</f>
        <v>2616850</v>
      </c>
      <c r="M27" s="3"/>
      <c r="N27" s="128"/>
    </row>
    <row r="28" spans="3:22" ht="15" thickBot="1" x14ac:dyDescent="0.35">
      <c r="C28" s="4" t="s">
        <v>8</v>
      </c>
      <c r="D28" s="4">
        <v>0.48399999999999999</v>
      </c>
      <c r="F28" s="3" t="s">
        <v>29</v>
      </c>
      <c r="G28" s="3">
        <v>0.22</v>
      </c>
      <c r="I28" s="129" t="s">
        <v>0</v>
      </c>
      <c r="J28" s="130"/>
      <c r="K28" s="130">
        <f>SUM(K25:K27)</f>
        <v>9773759.6083084568</v>
      </c>
      <c r="L28" s="130">
        <f>SUM(L25:L27)</f>
        <v>10016618</v>
      </c>
      <c r="M28" s="130">
        <f>D30*(M35+Q35+U34)</f>
        <v>25955609</v>
      </c>
      <c r="N28" s="131">
        <f>(K28+L28)/M28</f>
        <v>0.76247017006260409</v>
      </c>
    </row>
    <row r="29" spans="3:22" x14ac:dyDescent="0.3">
      <c r="C29" s="4" t="s">
        <v>9</v>
      </c>
      <c r="D29" s="4">
        <v>0.87</v>
      </c>
      <c r="F29" s="3"/>
      <c r="G29" s="3"/>
    </row>
    <row r="30" spans="3:22" x14ac:dyDescent="0.3">
      <c r="C30" s="4" t="s">
        <v>10</v>
      </c>
      <c r="D30" s="4">
        <v>1363</v>
      </c>
      <c r="F30" s="3"/>
      <c r="G30" s="3"/>
    </row>
    <row r="31" spans="3:22" x14ac:dyDescent="0.3">
      <c r="C31" s="4" t="s">
        <v>11</v>
      </c>
      <c r="D31" s="4">
        <v>9.61</v>
      </c>
      <c r="F31" s="3" t="s">
        <v>35</v>
      </c>
      <c r="G31" s="3">
        <v>5000</v>
      </c>
    </row>
    <row r="32" spans="3:22" x14ac:dyDescent="0.3">
      <c r="I32" s="141" t="s">
        <v>64</v>
      </c>
      <c r="J32" s="141"/>
      <c r="L32" s="4">
        <f>F3</f>
        <v>0.65900000000000003</v>
      </c>
      <c r="M32" s="4">
        <v>3451</v>
      </c>
      <c r="N32" s="4"/>
      <c r="P32" s="3">
        <f>F3</f>
        <v>0.65900000000000003</v>
      </c>
      <c r="Q32" s="3">
        <v>4975</v>
      </c>
      <c r="R32" s="3"/>
      <c r="T32" s="3">
        <f>F3</f>
        <v>0.65900000000000003</v>
      </c>
      <c r="U32" s="3">
        <v>6403</v>
      </c>
      <c r="V32" s="3"/>
    </row>
    <row r="33" spans="3:22" x14ac:dyDescent="0.3">
      <c r="I33" s="14" t="s">
        <v>65</v>
      </c>
      <c r="J33" s="15" t="s">
        <v>66</v>
      </c>
      <c r="L33" s="120">
        <f>J36-G3</f>
        <v>0.24097304744485659</v>
      </c>
      <c r="M33" s="4">
        <v>4015</v>
      </c>
      <c r="N33" s="120">
        <f>(L32+L33)*(M33-M32)/2</f>
        <v>253.79239937944956</v>
      </c>
      <c r="P33" s="121">
        <f>J40-F3</f>
        <v>0.29246114983532234</v>
      </c>
      <c r="Q33" s="3">
        <v>5475</v>
      </c>
      <c r="R33" s="121">
        <f>(P32+P33)*(Q33-Q32)/2</f>
        <v>237.86528745883058</v>
      </c>
      <c r="T33" s="122">
        <f>J44</f>
        <v>0.47663657151116789</v>
      </c>
      <c r="U33" s="3">
        <v>6935</v>
      </c>
      <c r="V33" s="121">
        <f>(T32+T33)*(U33-U32)/2</f>
        <v>302.0793280219707</v>
      </c>
    </row>
    <row r="34" spans="3:22" x14ac:dyDescent="0.3">
      <c r="C34" s="5" t="s">
        <v>47</v>
      </c>
      <c r="D34" s="5">
        <f>D25/D30</f>
        <v>0.38591342626559061</v>
      </c>
      <c r="I34" s="16">
        <f>C8</f>
        <v>3285</v>
      </c>
      <c r="J34" s="17">
        <f>E8</f>
        <v>2.1002957166492302</v>
      </c>
      <c r="L34" s="120">
        <f>J38-G3</f>
        <v>0.16816386665759664</v>
      </c>
      <c r="M34" s="4">
        <v>4745</v>
      </c>
      <c r="N34" s="120">
        <f>(L33+L34)*(M34-M33)/2</f>
        <v>149.33497364739543</v>
      </c>
      <c r="P34" s="121">
        <f>J42-F3</f>
        <v>6.7897539635702775E-2</v>
      </c>
      <c r="Q34" s="3">
        <v>6205</v>
      </c>
      <c r="R34" s="121">
        <f>(P33+P34)*(Q34-Q33)/2</f>
        <v>131.53092165692416</v>
      </c>
      <c r="T34" s="122">
        <f>J44</f>
        <v>0.47663657151116789</v>
      </c>
      <c r="U34" s="3">
        <v>7665</v>
      </c>
      <c r="V34" s="121">
        <f>(T33+T34)*(U34-U33)/2</f>
        <v>347.94469720315254</v>
      </c>
    </row>
    <row r="35" spans="3:22" x14ac:dyDescent="0.3">
      <c r="C35" s="5"/>
      <c r="D35" s="5"/>
      <c r="I35" s="18">
        <f>ROUND(((J35-J34)+((J36-J34)/(I36-I34))*I34)/((J36-J34)/(I36-I34)),0)</f>
        <v>3451</v>
      </c>
      <c r="J35" s="17">
        <f>H3</f>
        <v>1.9770000000000001</v>
      </c>
      <c r="L35" s="4">
        <v>0</v>
      </c>
      <c r="M35" s="4">
        <v>4975</v>
      </c>
      <c r="N35" s="120">
        <f>(L34+L35)*(M35-M34)/2</f>
        <v>19.338844665623615</v>
      </c>
      <c r="P35" s="3">
        <v>0</v>
      </c>
      <c r="Q35" s="3">
        <v>6403</v>
      </c>
      <c r="R35" s="121">
        <f>(P34+P35)*(Q35-Q34)/2</f>
        <v>6.7218564239345744</v>
      </c>
      <c r="T35" s="3"/>
      <c r="U35" s="3"/>
      <c r="V35" s="3"/>
    </row>
    <row r="36" spans="3:22" x14ac:dyDescent="0.3">
      <c r="C36" s="5" t="s">
        <v>46</v>
      </c>
      <c r="D36" s="5">
        <f>D26/D30</f>
        <v>0.48349229640498897</v>
      </c>
      <c r="I36" s="19">
        <f>C10</f>
        <v>4015</v>
      </c>
      <c r="J36" s="17">
        <f>E10</f>
        <v>1.5589730474448567</v>
      </c>
      <c r="L36" s="4"/>
      <c r="M36" s="4"/>
      <c r="N36" s="4"/>
      <c r="P36" s="3"/>
      <c r="Q36" s="3"/>
      <c r="R36" s="3"/>
      <c r="T36" s="3"/>
      <c r="U36" s="3"/>
      <c r="V36" s="3"/>
    </row>
    <row r="37" spans="3:22" x14ac:dyDescent="0.3">
      <c r="C37" s="5"/>
      <c r="D37" s="5"/>
      <c r="I37" s="8"/>
      <c r="J37" s="8"/>
      <c r="L37" s="4"/>
      <c r="M37" s="4"/>
      <c r="N37" s="120">
        <f>SUM(N33:N35)</f>
        <v>422.46621769246866</v>
      </c>
      <c r="P37" s="3"/>
      <c r="Q37" s="3"/>
      <c r="R37" s="121">
        <f>SUM(R33:R35)</f>
        <v>376.11806553968933</v>
      </c>
      <c r="T37" s="3"/>
      <c r="U37" s="3"/>
      <c r="V37" s="121">
        <f>V33+V34</f>
        <v>650.0240252251233</v>
      </c>
    </row>
    <row r="38" spans="3:22" x14ac:dyDescent="0.3">
      <c r="C38" s="5" t="s">
        <v>45</v>
      </c>
      <c r="D38" s="5">
        <f>(D25+D26)/D30</f>
        <v>0.86940572267057958</v>
      </c>
      <c r="I38" s="16">
        <f>C11</f>
        <v>4745</v>
      </c>
      <c r="J38" s="17">
        <f>E11</f>
        <v>1.4861638666575967</v>
      </c>
    </row>
    <row r="39" spans="3:22" x14ac:dyDescent="0.3">
      <c r="C39" s="5"/>
      <c r="D39" s="5"/>
      <c r="I39" s="18">
        <f>ROUND(((J39-J38)+((J40-J38)/(I40-I38))*I38)/((J40-J38)/(I40-I38)),0)</f>
        <v>4975</v>
      </c>
      <c r="J39" s="17">
        <f>G3</f>
        <v>1.3180000000000001</v>
      </c>
    </row>
    <row r="40" spans="3:22" x14ac:dyDescent="0.3">
      <c r="C40" s="5" t="s">
        <v>12</v>
      </c>
      <c r="D40" s="5">
        <f>D26/D25</f>
        <v>1.252851711026616</v>
      </c>
      <c r="I40" s="16">
        <f>C13</f>
        <v>5475</v>
      </c>
      <c r="J40" s="17">
        <f>E13</f>
        <v>0.95146114983532237</v>
      </c>
    </row>
    <row r="41" spans="3:22" x14ac:dyDescent="0.3">
      <c r="C41" s="5"/>
      <c r="D41" s="5"/>
    </row>
    <row r="42" spans="3:22" x14ac:dyDescent="0.3">
      <c r="C42" s="5" t="s">
        <v>13</v>
      </c>
      <c r="D42" s="5">
        <f>D25/D26</f>
        <v>0.79817905918057663</v>
      </c>
      <c r="I42" s="16">
        <f>C14</f>
        <v>6205</v>
      </c>
      <c r="J42" s="17">
        <f>E14</f>
        <v>0.72689753963570281</v>
      </c>
    </row>
    <row r="43" spans="3:22" x14ac:dyDescent="0.3">
      <c r="C43" s="5"/>
      <c r="D43" s="5"/>
      <c r="I43" s="18">
        <f>ROUND(((J43-J42)+((J44-J42)/(I44-I42))*I42)/((J44-J42)/(I44-I42)),0)</f>
        <v>6403</v>
      </c>
      <c r="J43" s="17">
        <f>F3</f>
        <v>0.65900000000000003</v>
      </c>
    </row>
    <row r="44" spans="3:22" x14ac:dyDescent="0.3">
      <c r="C44" s="5" t="s">
        <v>14</v>
      </c>
      <c r="D44" s="5">
        <f>D30/D25</f>
        <v>2.5912547528517109</v>
      </c>
      <c r="I44" s="16">
        <f>C16</f>
        <v>6935</v>
      </c>
      <c r="J44" s="17">
        <f>E16</f>
        <v>0.47663657151116789</v>
      </c>
    </row>
    <row r="47" spans="3:22" x14ac:dyDescent="0.3">
      <c r="C47" t="s">
        <v>15</v>
      </c>
    </row>
    <row r="49" spans="3:8" x14ac:dyDescent="0.3">
      <c r="C49" s="3" t="s">
        <v>16</v>
      </c>
      <c r="D49" s="3">
        <v>0.4955</v>
      </c>
    </row>
    <row r="50" spans="3:8" x14ac:dyDescent="0.3">
      <c r="C50" s="3" t="s">
        <v>17</v>
      </c>
      <c r="D50" s="3">
        <v>0.92</v>
      </c>
    </row>
    <row r="52" spans="3:8" x14ac:dyDescent="0.3">
      <c r="C52" s="3" t="s">
        <v>18</v>
      </c>
      <c r="D52" s="3">
        <f>(1-(1/(D34/D49+D36/D50)))*100</f>
        <v>23.334723911089394</v>
      </c>
      <c r="F52" t="s">
        <v>19</v>
      </c>
      <c r="H52" t="s">
        <v>36</v>
      </c>
    </row>
    <row r="54" spans="3:8" x14ac:dyDescent="0.3">
      <c r="C54" s="3"/>
      <c r="D54" s="3" t="s">
        <v>57</v>
      </c>
      <c r="E54" s="3" t="s">
        <v>58</v>
      </c>
      <c r="F54" s="3" t="s">
        <v>68</v>
      </c>
    </row>
    <row r="55" spans="3:8" x14ac:dyDescent="0.3">
      <c r="C55" s="3" t="s">
        <v>20</v>
      </c>
      <c r="D55" s="3">
        <f>$D$30/$D$31</f>
        <v>141.83142559833507</v>
      </c>
      <c r="E55" s="3">
        <f>$D$30/$D$31</f>
        <v>141.83142559833507</v>
      </c>
      <c r="F55" s="3">
        <f>$D$30/$D$31</f>
        <v>141.83142559833507</v>
      </c>
    </row>
    <row r="57" spans="3:8" x14ac:dyDescent="0.3">
      <c r="C57" s="3" t="s">
        <v>49</v>
      </c>
      <c r="D57" s="3">
        <f>D55*U34</f>
        <v>1087137.8772112383</v>
      </c>
      <c r="E57" s="3">
        <f>E55*Q35</f>
        <v>908146.61810613947</v>
      </c>
      <c r="F57" s="3">
        <f>F55*M35</f>
        <v>705611.34235171694</v>
      </c>
      <c r="G57" s="5">
        <f>D57+E57+F57</f>
        <v>2700895.8376690946</v>
      </c>
      <c r="H57" t="s">
        <v>134</v>
      </c>
    </row>
    <row r="59" spans="3:8" x14ac:dyDescent="0.3">
      <c r="C59" t="s">
        <v>21</v>
      </c>
    </row>
    <row r="61" spans="3:8" x14ac:dyDescent="0.3">
      <c r="C61" s="3" t="s">
        <v>22</v>
      </c>
      <c r="D61" s="3">
        <f xml:space="preserve"> (0.007499*(G57-1200000)+0.012498*1200000)/G57</f>
        <v>9.7200408547917332E-3</v>
      </c>
    </row>
    <row r="62" spans="3:8" x14ac:dyDescent="0.3">
      <c r="C62" s="3" t="s">
        <v>23</v>
      </c>
      <c r="D62" s="3">
        <f>(0.0052*(G57-1200000)+0.006249*1200000)/G57</f>
        <v>5.6660675848522754E-3</v>
      </c>
    </row>
    <row r="63" spans="3:8" x14ac:dyDescent="0.3">
      <c r="C63" s="3"/>
      <c r="D63" s="3"/>
    </row>
    <row r="64" spans="3:8" x14ac:dyDescent="0.3">
      <c r="C64" s="3" t="s">
        <v>24</v>
      </c>
      <c r="D64" s="3">
        <f>D61+D62</f>
        <v>1.5386108439644008E-2</v>
      </c>
    </row>
    <row r="65" spans="3:4" x14ac:dyDescent="0.3">
      <c r="C65" s="3"/>
      <c r="D65" s="3"/>
    </row>
    <row r="66" spans="3:4" x14ac:dyDescent="0.3">
      <c r="C66" s="3" t="s">
        <v>25</v>
      </c>
      <c r="D66" s="3">
        <v>1.8403</v>
      </c>
    </row>
    <row r="67" spans="3:4" x14ac:dyDescent="0.3">
      <c r="C67" s="3" t="s">
        <v>26</v>
      </c>
      <c r="D67" s="3">
        <f>D64+D66</f>
        <v>1.8556861084396441</v>
      </c>
    </row>
    <row r="69" spans="3:4" x14ac:dyDescent="0.3">
      <c r="C69" s="3" t="s">
        <v>48</v>
      </c>
      <c r="D69" s="3">
        <f>(G28*D66*D25+D67*(D55-G28*D25))*100</f>
        <v>26141.412575438575</v>
      </c>
    </row>
    <row r="71" spans="3:4" x14ac:dyDescent="0.3">
      <c r="C71" s="3" t="s">
        <v>27</v>
      </c>
      <c r="D71" s="3">
        <f>G24*D25</f>
        <v>420.8</v>
      </c>
    </row>
    <row r="72" spans="3:4" x14ac:dyDescent="0.3">
      <c r="C72" s="3"/>
      <c r="D72" s="3"/>
    </row>
    <row r="73" spans="3:4" x14ac:dyDescent="0.3">
      <c r="C73" s="3" t="s">
        <v>30</v>
      </c>
      <c r="D73" s="3">
        <f>G25/5000</f>
        <v>100</v>
      </c>
    </row>
    <row r="74" spans="3:4" x14ac:dyDescent="0.3">
      <c r="C74" s="3"/>
      <c r="D74" s="3"/>
    </row>
    <row r="75" spans="3:4" x14ac:dyDescent="0.3">
      <c r="C75" s="3" t="s">
        <v>31</v>
      </c>
      <c r="D75" s="3">
        <f>G26/5000</f>
        <v>50</v>
      </c>
    </row>
    <row r="78" spans="3:4" x14ac:dyDescent="0.3">
      <c r="C78" s="3" t="s">
        <v>34</v>
      </c>
      <c r="D78" s="3">
        <f>D69+D71+D73+D75</f>
        <v>26712.212575438574</v>
      </c>
    </row>
    <row r="80" spans="3:4" x14ac:dyDescent="0.3">
      <c r="C80" s="9"/>
      <c r="D80" s="9"/>
    </row>
    <row r="81" spans="3:9" x14ac:dyDescent="0.3">
      <c r="C81" s="3" t="s">
        <v>32</v>
      </c>
      <c r="D81" s="3">
        <f>D69+D71+D73+D75-D80</f>
        <v>26712.212575438574</v>
      </c>
    </row>
    <row r="84" spans="3:9" x14ac:dyDescent="0.3">
      <c r="C84" s="3" t="s">
        <v>33</v>
      </c>
      <c r="D84" s="3">
        <f>D81/D25</f>
        <v>50.783674097791966</v>
      </c>
    </row>
    <row r="87" spans="3:9" s="8" customFormat="1" x14ac:dyDescent="0.3">
      <c r="C87" s="9"/>
      <c r="D87" s="9"/>
    </row>
    <row r="88" spans="3:9" s="8" customFormat="1" x14ac:dyDescent="0.3">
      <c r="C88" s="5" t="s">
        <v>61</v>
      </c>
      <c r="D88" s="5">
        <f>(D25*3)*G31</f>
        <v>7890000</v>
      </c>
    </row>
    <row r="89" spans="3:9" s="8" customFormat="1" x14ac:dyDescent="0.3">
      <c r="C89" s="9"/>
      <c r="D89" s="9"/>
    </row>
    <row r="90" spans="3:9" x14ac:dyDescent="0.3">
      <c r="C90" s="9"/>
      <c r="D90" s="9"/>
      <c r="E90" s="9"/>
    </row>
    <row r="92" spans="3:9" x14ac:dyDescent="0.3">
      <c r="C92" s="2" t="s">
        <v>2</v>
      </c>
      <c r="D92" s="2"/>
      <c r="F92" s="21"/>
      <c r="G92" s="20"/>
      <c r="H92" s="20"/>
      <c r="I92" s="20"/>
    </row>
    <row r="93" spans="3:9" x14ac:dyDescent="0.3">
      <c r="C93" s="3" t="s">
        <v>37</v>
      </c>
      <c r="D93" s="3">
        <f>L28</f>
        <v>10016618</v>
      </c>
      <c r="F93" s="20"/>
      <c r="G93" s="20"/>
      <c r="H93" s="20"/>
      <c r="I93" s="20"/>
    </row>
    <row r="94" spans="3:9" x14ac:dyDescent="0.3">
      <c r="C94" s="3" t="s">
        <v>38</v>
      </c>
      <c r="D94" s="3">
        <f>K28</f>
        <v>9773759.6083084568</v>
      </c>
      <c r="F94" s="20"/>
      <c r="G94" s="20"/>
      <c r="H94" s="20"/>
      <c r="I94" s="20"/>
    </row>
    <row r="95" spans="3:9" x14ac:dyDescent="0.3">
      <c r="C95" s="3" t="s">
        <v>39</v>
      </c>
      <c r="D95" s="3">
        <f>M28</f>
        <v>25955609</v>
      </c>
      <c r="F95" s="20"/>
      <c r="G95" s="20"/>
      <c r="H95" s="20"/>
      <c r="I95" s="20"/>
    </row>
    <row r="96" spans="3:9" x14ac:dyDescent="0.3">
      <c r="C96" s="3" t="s">
        <v>1</v>
      </c>
      <c r="D96" s="3">
        <f>D93/D49 + D94/D50 -D95</f>
        <v>4883215.3011381552</v>
      </c>
      <c r="F96" s="20"/>
      <c r="G96" s="20"/>
      <c r="H96" s="20"/>
      <c r="I96" s="20"/>
    </row>
    <row r="97" spans="3:9" x14ac:dyDescent="0.3">
      <c r="C97" s="3" t="s">
        <v>41</v>
      </c>
      <c r="D97" s="3">
        <f>D96/1000</f>
        <v>4883.2153011381552</v>
      </c>
      <c r="F97" s="20"/>
      <c r="G97" s="20"/>
      <c r="H97" s="20"/>
      <c r="I97" s="20"/>
    </row>
    <row r="98" spans="3:9" x14ac:dyDescent="0.3">
      <c r="F98" s="20"/>
      <c r="G98" s="20"/>
      <c r="H98" s="20"/>
      <c r="I98" s="20"/>
    </row>
    <row r="99" spans="3:9" x14ac:dyDescent="0.3">
      <c r="F99" s="20"/>
      <c r="G99" s="20"/>
      <c r="H99" s="20"/>
      <c r="I99" s="20"/>
    </row>
    <row r="100" spans="3:9" x14ac:dyDescent="0.3">
      <c r="C100" s="3" t="s">
        <v>40</v>
      </c>
      <c r="D100" s="3">
        <v>8.5999999999999993E-2</v>
      </c>
      <c r="F100" s="20"/>
      <c r="G100" s="20"/>
      <c r="H100" s="20"/>
      <c r="I100" s="20"/>
    </row>
    <row r="101" spans="3:9" x14ac:dyDescent="0.3">
      <c r="C101" s="3"/>
      <c r="D101" s="3"/>
    </row>
    <row r="102" spans="3:9" x14ac:dyDescent="0.3">
      <c r="C102" s="3" t="s">
        <v>42</v>
      </c>
      <c r="D102" s="3">
        <v>1.3</v>
      </c>
    </row>
    <row r="103" spans="3:9" x14ac:dyDescent="0.3">
      <c r="C103" s="3"/>
      <c r="D103" s="3"/>
    </row>
    <row r="104" spans="3:9" x14ac:dyDescent="0.3">
      <c r="C104" s="3" t="s">
        <v>43</v>
      </c>
      <c r="D104" s="3">
        <f>D97*D100*D102</f>
        <v>545.94347066724572</v>
      </c>
    </row>
    <row r="105" spans="3:9" x14ac:dyDescent="0.3">
      <c r="C105" s="3" t="s">
        <v>59</v>
      </c>
      <c r="D105" s="3">
        <v>259.60000000000002</v>
      </c>
    </row>
    <row r="106" spans="3:9" x14ac:dyDescent="0.3">
      <c r="C106" s="3" t="s">
        <v>60</v>
      </c>
      <c r="D106" s="5">
        <f>D104*D105</f>
        <v>141726.92498521699</v>
      </c>
    </row>
    <row r="109" spans="3:9" x14ac:dyDescent="0.3">
      <c r="C109" s="9"/>
      <c r="D109" s="10"/>
    </row>
    <row r="110" spans="3:9" x14ac:dyDescent="0.3">
      <c r="C110" s="9"/>
      <c r="D110" s="10"/>
    </row>
    <row r="111" spans="3:9" x14ac:dyDescent="0.3">
      <c r="C111" s="9"/>
      <c r="D111" s="9"/>
    </row>
    <row r="113" spans="3:12" x14ac:dyDescent="0.3">
      <c r="C113" s="8"/>
      <c r="D113" s="8"/>
      <c r="E113" s="8"/>
      <c r="F113" s="8"/>
      <c r="G113" s="8"/>
      <c r="H113" s="8"/>
      <c r="I113" s="8"/>
      <c r="J113" s="8"/>
      <c r="K113" s="8"/>
      <c r="L113" s="8"/>
    </row>
    <row r="114" spans="3:12" x14ac:dyDescent="0.3">
      <c r="C114" s="8"/>
      <c r="D114" s="8"/>
      <c r="E114" s="8"/>
      <c r="F114" s="8"/>
      <c r="G114" s="8"/>
      <c r="H114" s="8"/>
      <c r="I114" s="8"/>
      <c r="J114" s="8"/>
      <c r="K114" s="8"/>
      <c r="L114" s="8"/>
    </row>
    <row r="115" spans="3:12" x14ac:dyDescent="0.3">
      <c r="C115" s="8"/>
      <c r="D115" s="8"/>
      <c r="E115" s="8"/>
      <c r="F115" s="8"/>
      <c r="G115" s="8"/>
      <c r="H115" s="8"/>
      <c r="I115" s="8"/>
      <c r="J115" s="8"/>
      <c r="K115" s="8"/>
      <c r="L115" s="8"/>
    </row>
    <row r="116" spans="3:12" x14ac:dyDescent="0.3"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3:12" x14ac:dyDescent="0.3"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3:12" x14ac:dyDescent="0.3">
      <c r="C118" s="8"/>
      <c r="D118" s="8"/>
      <c r="E118" s="8"/>
      <c r="F118" s="8"/>
      <c r="G118" s="8"/>
      <c r="H118" s="8"/>
      <c r="I118" s="8"/>
      <c r="J118" s="8"/>
      <c r="K118" s="8"/>
      <c r="L118" s="8"/>
    </row>
    <row r="119" spans="3:12" ht="15" thickBot="1" x14ac:dyDescent="0.35">
      <c r="C119" s="8"/>
      <c r="D119" s="8"/>
      <c r="E119" s="8"/>
      <c r="F119" s="8"/>
      <c r="G119" s="8"/>
      <c r="H119" s="8"/>
      <c r="I119" s="8"/>
      <c r="J119" s="8"/>
      <c r="K119" s="8"/>
      <c r="L119" s="8"/>
    </row>
    <row r="120" spans="3:12" x14ac:dyDescent="0.3">
      <c r="C120" s="132" t="s">
        <v>135</v>
      </c>
      <c r="D120" s="133" t="s">
        <v>136</v>
      </c>
      <c r="E120" s="134" t="s">
        <v>137</v>
      </c>
      <c r="F120" s="8"/>
      <c r="G120" s="8"/>
      <c r="H120" s="8"/>
      <c r="I120" s="8"/>
      <c r="J120" s="8"/>
      <c r="K120" s="8"/>
      <c r="L120" s="8"/>
    </row>
    <row r="121" spans="3:12" x14ac:dyDescent="0.3">
      <c r="C121" s="127">
        <v>200</v>
      </c>
      <c r="D121" s="3">
        <f t="shared" ref="D121:D126" si="3">C121*E121</f>
        <v>1500000</v>
      </c>
      <c r="E121" s="135">
        <v>7500</v>
      </c>
      <c r="F121" s="8"/>
      <c r="G121" s="8"/>
      <c r="H121" s="8"/>
      <c r="I121" s="8"/>
      <c r="J121" s="8"/>
      <c r="K121" s="8"/>
      <c r="L121" s="8"/>
    </row>
    <row r="122" spans="3:12" x14ac:dyDescent="0.3">
      <c r="C122" s="127">
        <v>600</v>
      </c>
      <c r="D122" s="3">
        <f t="shared" si="3"/>
        <v>3750000</v>
      </c>
      <c r="E122" s="135">
        <v>6250</v>
      </c>
      <c r="F122" s="8"/>
      <c r="G122" s="8"/>
      <c r="H122" s="8"/>
      <c r="I122" s="8"/>
      <c r="J122" s="8"/>
      <c r="K122" s="8"/>
      <c r="L122" s="8"/>
    </row>
    <row r="123" spans="3:12" x14ac:dyDescent="0.3">
      <c r="C123" s="127">
        <v>2000</v>
      </c>
      <c r="D123" s="3">
        <f t="shared" si="3"/>
        <v>9400000</v>
      </c>
      <c r="E123" s="135">
        <v>4700</v>
      </c>
      <c r="F123" s="8"/>
      <c r="G123" s="8"/>
      <c r="H123" s="8"/>
      <c r="I123" s="8"/>
      <c r="J123" s="8"/>
      <c r="K123" s="8"/>
      <c r="L123" s="8"/>
    </row>
    <row r="124" spans="3:12" x14ac:dyDescent="0.3">
      <c r="C124" s="127">
        <v>6000</v>
      </c>
      <c r="D124" s="3">
        <f t="shared" si="3"/>
        <v>19800000</v>
      </c>
      <c r="E124" s="135">
        <v>3300</v>
      </c>
      <c r="F124" s="8"/>
      <c r="G124" s="8"/>
      <c r="H124" s="8"/>
      <c r="I124" s="8"/>
      <c r="J124" s="8"/>
      <c r="K124" s="8"/>
      <c r="L124" s="8"/>
    </row>
    <row r="125" spans="3:12" ht="15" thickBot="1" x14ac:dyDescent="0.35">
      <c r="C125" s="136">
        <v>20000</v>
      </c>
      <c r="D125" s="130">
        <f t="shared" si="3"/>
        <v>38000000</v>
      </c>
      <c r="E125" s="137">
        <v>1900</v>
      </c>
      <c r="F125" s="8"/>
      <c r="G125" s="8"/>
      <c r="H125" s="8"/>
      <c r="I125" s="8"/>
      <c r="J125" s="8"/>
      <c r="K125" s="8"/>
      <c r="L125" s="8"/>
    </row>
    <row r="126" spans="3:12" ht="15" thickBot="1" x14ac:dyDescent="0.35">
      <c r="C126" s="138">
        <v>200000</v>
      </c>
      <c r="D126" s="139">
        <f t="shared" si="3"/>
        <v>300000000</v>
      </c>
      <c r="E126" s="140">
        <v>1500</v>
      </c>
      <c r="F126" s="8"/>
      <c r="G126" s="8"/>
      <c r="H126" s="8"/>
      <c r="I126" s="8"/>
      <c r="J126" s="8"/>
      <c r="K126" s="8"/>
      <c r="L126" s="8"/>
    </row>
    <row r="127" spans="3:12" x14ac:dyDescent="0.3">
      <c r="C127" s="8"/>
      <c r="D127" s="8"/>
      <c r="E127" s="8"/>
      <c r="F127" s="8"/>
      <c r="G127" s="8"/>
      <c r="H127" s="8"/>
      <c r="I127" s="8"/>
      <c r="J127" s="8"/>
      <c r="K127" s="8"/>
      <c r="L127" s="8"/>
    </row>
    <row r="128" spans="3:12" x14ac:dyDescent="0.3"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3:12" x14ac:dyDescent="0.3">
      <c r="C129" s="8"/>
      <c r="D129" s="8"/>
      <c r="E129" s="8"/>
      <c r="F129" s="8"/>
      <c r="G129" s="8"/>
      <c r="H129" s="8"/>
      <c r="I129" s="8"/>
      <c r="J129" s="8"/>
      <c r="K129" s="8"/>
      <c r="L129" s="8"/>
    </row>
    <row r="130" spans="3:12" x14ac:dyDescent="0.3">
      <c r="C130" s="8"/>
      <c r="D130" s="8"/>
      <c r="E130" s="8"/>
      <c r="F130" s="8"/>
      <c r="G130" s="8"/>
      <c r="H130" s="8"/>
      <c r="I130" s="8"/>
      <c r="J130" s="8"/>
      <c r="K130" s="8"/>
      <c r="L130" s="8"/>
    </row>
    <row r="131" spans="3:12" x14ac:dyDescent="0.3">
      <c r="C131" s="8"/>
      <c r="D131" s="8"/>
      <c r="E131" s="8"/>
      <c r="F131" s="8"/>
      <c r="G131" s="8"/>
      <c r="H131" s="8"/>
      <c r="I131" s="8"/>
      <c r="J131" s="8"/>
      <c r="K131" s="8"/>
      <c r="L131" s="8"/>
    </row>
    <row r="132" spans="3:12" x14ac:dyDescent="0.3"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3:12" x14ac:dyDescent="0.3">
      <c r="C133" s="8"/>
      <c r="D133" s="8"/>
      <c r="E133" s="8"/>
      <c r="F133" s="8"/>
      <c r="G133" s="8"/>
      <c r="H133" s="8"/>
      <c r="I133" s="8"/>
      <c r="J133" s="8"/>
      <c r="K133" s="8"/>
      <c r="L133" s="8"/>
    </row>
    <row r="134" spans="3:12" x14ac:dyDescent="0.3">
      <c r="C134" s="8"/>
      <c r="D134" s="8"/>
      <c r="E134" s="8"/>
      <c r="F134" s="8"/>
      <c r="G134" s="8"/>
      <c r="H134" s="8"/>
      <c r="I134" s="8"/>
      <c r="J134" s="8"/>
      <c r="K134" s="8"/>
      <c r="L134" s="8"/>
    </row>
    <row r="135" spans="3:12" x14ac:dyDescent="0.3">
      <c r="C135" s="8"/>
      <c r="D135" s="8"/>
      <c r="E135" s="8"/>
      <c r="F135" s="8"/>
      <c r="G135" s="8"/>
      <c r="H135" s="8"/>
      <c r="I135" s="8"/>
      <c r="J135" s="8"/>
      <c r="K135" s="8"/>
      <c r="L135" s="8"/>
    </row>
    <row r="136" spans="3:12" x14ac:dyDescent="0.3">
      <c r="C136" s="8"/>
      <c r="D136" s="8"/>
      <c r="E136" s="8"/>
      <c r="F136" s="8"/>
      <c r="G136" s="8"/>
      <c r="H136" s="8"/>
      <c r="I136" s="8"/>
      <c r="J136" s="8"/>
      <c r="K136" s="8"/>
      <c r="L136" s="8"/>
    </row>
    <row r="137" spans="3:12" x14ac:dyDescent="0.3">
      <c r="C137" s="8"/>
      <c r="D137" s="8"/>
      <c r="E137" s="8"/>
      <c r="F137" s="8"/>
      <c r="G137" s="8"/>
      <c r="H137" s="8"/>
      <c r="I137" s="8"/>
      <c r="J137" s="8"/>
      <c r="K137" s="8"/>
      <c r="L137" s="8"/>
    </row>
    <row r="138" spans="3:12" x14ac:dyDescent="0.3">
      <c r="C138" s="8"/>
      <c r="D138" s="8"/>
      <c r="E138" s="8"/>
      <c r="F138" s="8"/>
      <c r="G138" s="8"/>
      <c r="H138" s="8"/>
      <c r="I138" s="8"/>
      <c r="J138" s="8"/>
      <c r="K138" s="8"/>
      <c r="L138" s="8"/>
    </row>
    <row r="139" spans="3:12" x14ac:dyDescent="0.3"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3:12" x14ac:dyDescent="0.3">
      <c r="C140" s="8"/>
      <c r="D140" s="8"/>
      <c r="E140" s="8"/>
      <c r="F140" s="8"/>
      <c r="G140" s="8"/>
      <c r="H140" s="8"/>
      <c r="I140" s="8"/>
      <c r="J140" s="8"/>
      <c r="K140" s="8"/>
      <c r="L140" s="8"/>
    </row>
    <row r="141" spans="3:12" x14ac:dyDescent="0.3">
      <c r="C141" s="8"/>
      <c r="D141" s="8"/>
      <c r="E141" s="8"/>
      <c r="F141" s="8"/>
      <c r="G141" s="8"/>
      <c r="H141" s="8"/>
      <c r="I141" s="8"/>
      <c r="J141" s="8"/>
      <c r="K141" s="8"/>
      <c r="L141" s="8"/>
    </row>
    <row r="142" spans="3:12" x14ac:dyDescent="0.3">
      <c r="C142" s="8"/>
      <c r="D142" s="8"/>
      <c r="E142" s="8"/>
      <c r="F142" s="8"/>
      <c r="G142" s="8"/>
      <c r="H142" s="8"/>
      <c r="I142" s="8"/>
      <c r="J142" s="8"/>
      <c r="K142" s="8"/>
      <c r="L142" s="8"/>
    </row>
    <row r="143" spans="3:12" x14ac:dyDescent="0.3">
      <c r="C143" s="8"/>
      <c r="D143" s="8"/>
      <c r="E143" s="8"/>
      <c r="F143" s="8"/>
      <c r="G143" s="8"/>
      <c r="H143" s="8"/>
      <c r="I143" s="8"/>
      <c r="J143" s="8"/>
      <c r="K143" s="8"/>
      <c r="L143" s="8"/>
    </row>
  </sheetData>
  <mergeCells count="1">
    <mergeCell ref="I32:J32"/>
  </mergeCells>
  <phoneticPr fontId="6" type="noConversion"/>
  <pageMargins left="0.7" right="0.7" top="0.75" bottom="0.75" header="0.3" footer="0.3"/>
  <pageSetup paperSize="9" orientation="landscape" horizontalDpi="4294967294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A41EE-44F7-4389-B6FC-41B578951225}">
  <dimension ref="A1:AG112"/>
  <sheetViews>
    <sheetView topLeftCell="A22" zoomScale="60" zoomScaleNormal="60" workbookViewId="0">
      <selection activeCell="E35" sqref="E35"/>
    </sheetView>
  </sheetViews>
  <sheetFormatPr defaultRowHeight="14.4" x14ac:dyDescent="0.3"/>
  <cols>
    <col min="1" max="1" width="8.88671875" style="8"/>
    <col min="2" max="2" width="37.109375" customWidth="1"/>
    <col min="3" max="33" width="20.77734375" customWidth="1"/>
  </cols>
  <sheetData>
    <row r="1" spans="2:33" x14ac:dyDescent="0.3">
      <c r="B1" s="22"/>
      <c r="C1" s="23"/>
      <c r="D1" s="23"/>
      <c r="E1" s="23"/>
      <c r="F1" s="23"/>
      <c r="G1" s="24"/>
      <c r="H1" s="25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</row>
    <row r="2" spans="2:33" ht="15.6" x14ac:dyDescent="0.3">
      <c r="B2" s="27" t="s">
        <v>69</v>
      </c>
      <c r="C2" s="28">
        <f>Calcolo!D25*3</f>
        <v>1578</v>
      </c>
      <c r="D2" s="29" t="s">
        <v>70</v>
      </c>
      <c r="E2" s="30"/>
      <c r="F2" s="30"/>
      <c r="G2" s="31"/>
      <c r="H2" s="30"/>
      <c r="I2" s="30"/>
      <c r="J2" s="30"/>
      <c r="K2" s="30"/>
      <c r="L2" s="26"/>
      <c r="M2" s="26"/>
      <c r="N2" s="26"/>
      <c r="O2" s="26"/>
      <c r="P2" s="26"/>
      <c r="Q2" s="26"/>
      <c r="R2" s="26"/>
      <c r="S2" s="26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spans="2:33" ht="15.6" x14ac:dyDescent="0.3">
      <c r="B3" s="27" t="s">
        <v>71</v>
      </c>
      <c r="C3" s="32">
        <f>Calcolo!D26*3</f>
        <v>1977</v>
      </c>
      <c r="D3" s="29" t="s">
        <v>70</v>
      </c>
      <c r="E3" s="23"/>
      <c r="F3" s="23"/>
      <c r="G3" s="23"/>
      <c r="H3" s="29" t="s">
        <v>72</v>
      </c>
      <c r="I3" s="32">
        <f>PMT(C13,C15/12,C8*(1-C9))</f>
        <v>-318623.66912329977</v>
      </c>
      <c r="J3" s="33" t="s">
        <v>73</v>
      </c>
      <c r="K3" s="23"/>
      <c r="L3" s="26"/>
      <c r="M3" s="26"/>
      <c r="N3" s="26"/>
      <c r="O3" s="26"/>
      <c r="P3" s="26"/>
      <c r="Q3" s="26"/>
      <c r="R3" s="26"/>
      <c r="S3" s="26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2:33" x14ac:dyDescent="0.3">
      <c r="B4" s="34"/>
      <c r="C4" s="35"/>
      <c r="D4" s="29"/>
      <c r="E4" s="23"/>
      <c r="F4" s="23"/>
      <c r="G4" s="23"/>
      <c r="H4" s="29" t="s">
        <v>74</v>
      </c>
      <c r="I4" s="36">
        <v>0</v>
      </c>
      <c r="J4" s="33"/>
      <c r="K4" s="23"/>
      <c r="L4" s="26"/>
      <c r="M4" s="26"/>
      <c r="N4" s="26"/>
      <c r="O4" s="26"/>
      <c r="P4" s="26"/>
      <c r="Q4" s="26"/>
      <c r="R4" s="26"/>
      <c r="S4" s="26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2:33" x14ac:dyDescent="0.3">
      <c r="B5" s="29" t="s">
        <v>75</v>
      </c>
      <c r="C5" s="37">
        <v>0</v>
      </c>
      <c r="D5" s="29"/>
      <c r="E5" s="23"/>
      <c r="F5" s="23"/>
      <c r="G5" s="23"/>
      <c r="H5" s="29" t="s">
        <v>76</v>
      </c>
      <c r="I5" s="36">
        <v>0</v>
      </c>
      <c r="J5" s="33" t="s">
        <v>77</v>
      </c>
      <c r="K5" s="23"/>
      <c r="L5" s="26"/>
      <c r="M5" s="26"/>
      <c r="N5" s="26"/>
      <c r="O5" s="26"/>
      <c r="P5" s="26"/>
      <c r="Q5" s="26"/>
      <c r="R5" s="26"/>
      <c r="S5" s="26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2:33" x14ac:dyDescent="0.3">
      <c r="B6" s="29" t="s">
        <v>78</v>
      </c>
      <c r="C6" s="38">
        <v>5.0000000000000001E-3</v>
      </c>
      <c r="D6" s="29"/>
      <c r="E6" s="23"/>
      <c r="F6" s="23"/>
      <c r="G6" s="23"/>
      <c r="H6" s="29"/>
      <c r="I6" s="39"/>
      <c r="J6" s="33"/>
      <c r="K6" s="23"/>
      <c r="L6" s="26"/>
      <c r="M6" s="26"/>
      <c r="N6" s="26"/>
      <c r="O6" s="26"/>
      <c r="P6" s="26"/>
      <c r="Q6" s="26"/>
      <c r="R6" s="26"/>
      <c r="S6" s="26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2:33" x14ac:dyDescent="0.3">
      <c r="B7" s="29" t="s">
        <v>79</v>
      </c>
      <c r="C7" s="32">
        <f>Calcolo!D88</f>
        <v>7890000</v>
      </c>
      <c r="D7" s="29"/>
      <c r="E7" s="23"/>
      <c r="F7" s="23"/>
      <c r="G7" s="23"/>
      <c r="H7" s="29" t="s">
        <v>80</v>
      </c>
      <c r="I7" s="39">
        <v>9.6000000000000002E-2</v>
      </c>
      <c r="J7" s="33" t="s">
        <v>77</v>
      </c>
      <c r="K7" s="23"/>
      <c r="L7" s="26"/>
      <c r="M7" s="26"/>
      <c r="N7" s="26"/>
      <c r="O7" s="26"/>
      <c r="P7" s="26"/>
      <c r="Q7" s="26"/>
      <c r="R7" s="26"/>
      <c r="S7" s="26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2:33" x14ac:dyDescent="0.3">
      <c r="B8" s="29" t="s">
        <v>81</v>
      </c>
      <c r="C8" s="32">
        <f>C7</f>
        <v>7890000</v>
      </c>
      <c r="D8" s="29" t="s">
        <v>73</v>
      </c>
      <c r="E8" s="23"/>
      <c r="F8" s="23"/>
      <c r="G8" s="23"/>
      <c r="H8" s="29" t="s">
        <v>82</v>
      </c>
      <c r="I8" s="38">
        <v>0.24</v>
      </c>
      <c r="J8" s="33"/>
      <c r="K8" s="23"/>
      <c r="L8" s="26"/>
      <c r="M8" s="26"/>
      <c r="N8" s="26"/>
      <c r="O8" s="26"/>
      <c r="P8" s="26"/>
      <c r="Q8" s="26"/>
      <c r="R8" s="26"/>
      <c r="S8" s="26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2:33" x14ac:dyDescent="0.3">
      <c r="B9" s="29"/>
      <c r="C9" s="40">
        <v>0.5</v>
      </c>
      <c r="D9" s="29"/>
      <c r="E9" s="23"/>
      <c r="F9" s="23"/>
      <c r="G9" s="23"/>
      <c r="H9" s="29" t="s">
        <v>83</v>
      </c>
      <c r="I9" s="38">
        <v>3.9E-2</v>
      </c>
      <c r="J9" s="33"/>
      <c r="K9" s="23"/>
      <c r="L9" s="26"/>
      <c r="M9" s="26"/>
      <c r="N9" s="26"/>
      <c r="O9" s="26"/>
      <c r="P9" s="26"/>
      <c r="Q9" s="26"/>
      <c r="R9" s="26"/>
      <c r="S9" s="26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2:33" x14ac:dyDescent="0.3">
      <c r="B10" s="29" t="s">
        <v>84</v>
      </c>
      <c r="C10" s="32">
        <f>+C8*C9</f>
        <v>3945000</v>
      </c>
      <c r="D10" s="29"/>
      <c r="E10" s="23">
        <v>25</v>
      </c>
      <c r="F10" s="23" t="s">
        <v>85</v>
      </c>
      <c r="G10" s="23"/>
      <c r="H10" s="29" t="s">
        <v>86</v>
      </c>
      <c r="I10" s="38">
        <v>1.06E-2</v>
      </c>
      <c r="J10" s="33"/>
      <c r="K10" s="23"/>
      <c r="L10" s="26"/>
      <c r="M10" s="26"/>
      <c r="N10" s="26"/>
      <c r="O10" s="26"/>
      <c r="P10" s="26"/>
      <c r="Q10" s="26"/>
      <c r="R10" s="26"/>
      <c r="S10" s="26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2:33" x14ac:dyDescent="0.3">
      <c r="B11" s="41" t="s">
        <v>87</v>
      </c>
      <c r="C11" s="42">
        <v>5.0000000000000001E-3</v>
      </c>
      <c r="D11" s="43" t="s">
        <v>88</v>
      </c>
      <c r="E11" s="44"/>
      <c r="F11" s="8"/>
      <c r="G11" s="23"/>
      <c r="H11" s="45"/>
      <c r="I11" s="23"/>
      <c r="J11" s="23"/>
      <c r="K11" s="23"/>
      <c r="L11" s="26"/>
      <c r="M11" s="26"/>
      <c r="N11" s="26"/>
      <c r="O11" s="26"/>
      <c r="P11" s="26"/>
      <c r="Q11" s="26"/>
      <c r="R11" s="26"/>
      <c r="S11" s="26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2:33" x14ac:dyDescent="0.3">
      <c r="B12" s="41" t="s">
        <v>89</v>
      </c>
      <c r="C12" s="42">
        <v>0.02</v>
      </c>
      <c r="D12" s="41"/>
      <c r="E12" s="46"/>
      <c r="F12" s="23"/>
      <c r="G12" s="47"/>
      <c r="H12" s="45"/>
      <c r="I12" s="23"/>
      <c r="J12" s="23"/>
      <c r="K12" s="23"/>
      <c r="L12" s="26"/>
      <c r="M12" s="26"/>
      <c r="N12" s="26"/>
      <c r="O12" s="26"/>
      <c r="P12" s="26"/>
      <c r="Q12" s="26"/>
      <c r="R12" s="26"/>
      <c r="S12" s="26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2:33" x14ac:dyDescent="0.3">
      <c r="B13" s="41" t="s">
        <v>90</v>
      </c>
      <c r="C13" s="42">
        <f>C11+C12</f>
        <v>2.5000000000000001E-2</v>
      </c>
      <c r="D13" s="41"/>
      <c r="E13" s="46"/>
      <c r="F13" s="23"/>
      <c r="G13" s="23"/>
      <c r="H13" s="23"/>
      <c r="I13" s="48"/>
      <c r="J13" s="23"/>
      <c r="K13" s="23"/>
      <c r="L13" s="26"/>
      <c r="M13" s="26"/>
      <c r="N13" s="26"/>
      <c r="O13" s="26"/>
      <c r="P13" s="26"/>
      <c r="Q13" s="26"/>
      <c r="R13" s="26"/>
      <c r="S13" s="26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2:33" x14ac:dyDescent="0.3">
      <c r="B14" s="41" t="s">
        <v>91</v>
      </c>
      <c r="C14" s="42">
        <v>5.5E-2</v>
      </c>
      <c r="D14" s="41"/>
      <c r="E14" s="46"/>
      <c r="F14" s="23"/>
      <c r="G14" s="49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2:33" x14ac:dyDescent="0.3">
      <c r="B15" s="41" t="s">
        <v>92</v>
      </c>
      <c r="C15" s="41">
        <f>12*E15</f>
        <v>180</v>
      </c>
      <c r="D15" s="41" t="s">
        <v>93</v>
      </c>
      <c r="E15" s="46">
        <v>15</v>
      </c>
      <c r="F15" s="23" t="s">
        <v>85</v>
      </c>
      <c r="G15" s="23"/>
      <c r="H15" s="23"/>
      <c r="I15" s="49"/>
      <c r="J15" s="23"/>
      <c r="K15" s="50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2:33" x14ac:dyDescent="0.3">
      <c r="B16" s="41" t="s">
        <v>94</v>
      </c>
      <c r="C16" s="41">
        <f>+C15+36*0</f>
        <v>180</v>
      </c>
      <c r="D16" s="41" t="s">
        <v>93</v>
      </c>
      <c r="E16" s="5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2:33" x14ac:dyDescent="0.3">
      <c r="B17" s="51"/>
      <c r="C17" s="52"/>
      <c r="D17" s="51"/>
      <c r="E17" s="51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2:33" ht="17.399999999999999" x14ac:dyDescent="0.35">
      <c r="B18" s="53" t="s">
        <v>95</v>
      </c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2:33" ht="17.399999999999999" x14ac:dyDescent="0.35">
      <c r="B19" s="53"/>
      <c r="C19" s="22"/>
      <c r="D19" s="54"/>
      <c r="E19" s="54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2:33" ht="17.399999999999999" x14ac:dyDescent="0.35">
      <c r="B20" s="53"/>
      <c r="C20" s="22"/>
      <c r="D20" s="54"/>
      <c r="E20" s="54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2:33" x14ac:dyDescent="0.3">
      <c r="B21" s="55"/>
      <c r="C21" s="22"/>
      <c r="D21" s="54"/>
      <c r="E21" s="54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2:33" x14ac:dyDescent="0.3">
      <c r="B22" s="54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2:33" x14ac:dyDescent="0.3">
      <c r="B23" s="23"/>
      <c r="C23" s="23"/>
      <c r="D23" s="23"/>
      <c r="E23" s="23"/>
      <c r="F23" s="56">
        <v>0</v>
      </c>
      <c r="G23" s="56">
        <v>1</v>
      </c>
      <c r="H23" s="56">
        <v>2</v>
      </c>
      <c r="I23" s="56">
        <v>3</v>
      </c>
      <c r="J23" s="56">
        <v>4</v>
      </c>
      <c r="K23" s="56">
        <v>5</v>
      </c>
      <c r="L23" s="56">
        <v>6</v>
      </c>
      <c r="M23" s="56">
        <v>7</v>
      </c>
      <c r="N23" s="56">
        <v>8</v>
      </c>
      <c r="O23" s="56">
        <v>9</v>
      </c>
      <c r="P23" s="56">
        <v>10</v>
      </c>
      <c r="Q23" s="56">
        <v>11</v>
      </c>
      <c r="R23" s="56">
        <v>12</v>
      </c>
      <c r="S23" s="56">
        <v>13</v>
      </c>
      <c r="T23" s="56">
        <v>14</v>
      </c>
      <c r="U23" s="56">
        <v>15</v>
      </c>
      <c r="V23" s="56">
        <v>16</v>
      </c>
      <c r="W23" s="56">
        <v>17</v>
      </c>
      <c r="X23" s="56">
        <v>18</v>
      </c>
      <c r="Y23" s="56">
        <v>19</v>
      </c>
      <c r="Z23" s="56">
        <v>20</v>
      </c>
      <c r="AA23" s="56">
        <v>21</v>
      </c>
      <c r="AB23" s="56">
        <v>22</v>
      </c>
      <c r="AC23" s="56">
        <v>23</v>
      </c>
      <c r="AD23" s="56">
        <v>24</v>
      </c>
      <c r="AE23" s="56">
        <v>25</v>
      </c>
      <c r="AF23" s="56"/>
      <c r="AG23" s="23"/>
    </row>
    <row r="24" spans="2:33" ht="15.6" x14ac:dyDescent="0.3">
      <c r="B24" s="57" t="s">
        <v>96</v>
      </c>
      <c r="C24" s="58"/>
      <c r="D24" s="58"/>
      <c r="E24" s="58"/>
      <c r="F24" s="59">
        <v>2025</v>
      </c>
      <c r="G24" s="59">
        <f>+F24+1</f>
        <v>2026</v>
      </c>
      <c r="H24" s="59">
        <f t="shared" ref="H24:AE24" si="0">+G24+1</f>
        <v>2027</v>
      </c>
      <c r="I24" s="59">
        <f t="shared" si="0"/>
        <v>2028</v>
      </c>
      <c r="J24" s="59">
        <f t="shared" si="0"/>
        <v>2029</v>
      </c>
      <c r="K24" s="59">
        <f t="shared" si="0"/>
        <v>2030</v>
      </c>
      <c r="L24" s="59">
        <f t="shared" si="0"/>
        <v>2031</v>
      </c>
      <c r="M24" s="59">
        <f t="shared" si="0"/>
        <v>2032</v>
      </c>
      <c r="N24" s="59">
        <f t="shared" si="0"/>
        <v>2033</v>
      </c>
      <c r="O24" s="59">
        <f t="shared" si="0"/>
        <v>2034</v>
      </c>
      <c r="P24" s="59">
        <f t="shared" si="0"/>
        <v>2035</v>
      </c>
      <c r="Q24" s="59">
        <f t="shared" si="0"/>
        <v>2036</v>
      </c>
      <c r="R24" s="59">
        <f t="shared" si="0"/>
        <v>2037</v>
      </c>
      <c r="S24" s="59">
        <f t="shared" si="0"/>
        <v>2038</v>
      </c>
      <c r="T24" s="59">
        <f t="shared" si="0"/>
        <v>2039</v>
      </c>
      <c r="U24" s="59">
        <f t="shared" si="0"/>
        <v>2040</v>
      </c>
      <c r="V24" s="59">
        <f t="shared" si="0"/>
        <v>2041</v>
      </c>
      <c r="W24" s="59">
        <f t="shared" si="0"/>
        <v>2042</v>
      </c>
      <c r="X24" s="59">
        <f t="shared" si="0"/>
        <v>2043</v>
      </c>
      <c r="Y24" s="59">
        <f t="shared" si="0"/>
        <v>2044</v>
      </c>
      <c r="Z24" s="59">
        <f t="shared" si="0"/>
        <v>2045</v>
      </c>
      <c r="AA24" s="59">
        <f t="shared" si="0"/>
        <v>2046</v>
      </c>
      <c r="AB24" s="59">
        <f t="shared" si="0"/>
        <v>2047</v>
      </c>
      <c r="AC24" s="59">
        <f t="shared" si="0"/>
        <v>2048</v>
      </c>
      <c r="AD24" s="59">
        <f t="shared" si="0"/>
        <v>2049</v>
      </c>
      <c r="AE24" s="59">
        <f t="shared" si="0"/>
        <v>2050</v>
      </c>
      <c r="AF24" s="59" t="s">
        <v>97</v>
      </c>
      <c r="AG24" s="60"/>
    </row>
    <row r="25" spans="2:33" x14ac:dyDescent="0.3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23"/>
    </row>
    <row r="26" spans="2:33" x14ac:dyDescent="0.3">
      <c r="B26" s="33" t="s">
        <v>98</v>
      </c>
      <c r="C26" s="33"/>
      <c r="D26" s="33"/>
      <c r="E26" s="62"/>
      <c r="F26" s="63" t="s">
        <v>99</v>
      </c>
      <c r="G26" s="62">
        <f>Calcolo!L28</f>
        <v>10016618</v>
      </c>
      <c r="H26" s="64">
        <f>G26</f>
        <v>10016618</v>
      </c>
      <c r="I26" s="64">
        <f t="shared" ref="I26:AE26" si="1">H26</f>
        <v>10016618</v>
      </c>
      <c r="J26" s="64">
        <f t="shared" si="1"/>
        <v>10016618</v>
      </c>
      <c r="K26" s="64">
        <f t="shared" si="1"/>
        <v>10016618</v>
      </c>
      <c r="L26" s="64">
        <f t="shared" si="1"/>
        <v>10016618</v>
      </c>
      <c r="M26" s="64">
        <f t="shared" si="1"/>
        <v>10016618</v>
      </c>
      <c r="N26" s="64">
        <f t="shared" si="1"/>
        <v>10016618</v>
      </c>
      <c r="O26" s="64">
        <f t="shared" si="1"/>
        <v>10016618</v>
      </c>
      <c r="P26" s="64">
        <f t="shared" si="1"/>
        <v>10016618</v>
      </c>
      <c r="Q26" s="64">
        <f t="shared" si="1"/>
        <v>10016618</v>
      </c>
      <c r="R26" s="64">
        <f t="shared" si="1"/>
        <v>10016618</v>
      </c>
      <c r="S26" s="64">
        <f t="shared" si="1"/>
        <v>10016618</v>
      </c>
      <c r="T26" s="64">
        <f t="shared" si="1"/>
        <v>10016618</v>
      </c>
      <c r="U26" s="64">
        <f t="shared" si="1"/>
        <v>10016618</v>
      </c>
      <c r="V26" s="64">
        <f t="shared" si="1"/>
        <v>10016618</v>
      </c>
      <c r="W26" s="64">
        <f t="shared" si="1"/>
        <v>10016618</v>
      </c>
      <c r="X26" s="64">
        <f t="shared" si="1"/>
        <v>10016618</v>
      </c>
      <c r="Y26" s="64">
        <f t="shared" si="1"/>
        <v>10016618</v>
      </c>
      <c r="Z26" s="64">
        <f t="shared" si="1"/>
        <v>10016618</v>
      </c>
      <c r="AA26" s="64">
        <f t="shared" si="1"/>
        <v>10016618</v>
      </c>
      <c r="AB26" s="64">
        <f t="shared" si="1"/>
        <v>10016618</v>
      </c>
      <c r="AC26" s="64">
        <f t="shared" si="1"/>
        <v>10016618</v>
      </c>
      <c r="AD26" s="64">
        <f t="shared" si="1"/>
        <v>10016618</v>
      </c>
      <c r="AE26" s="64">
        <f t="shared" si="1"/>
        <v>10016618</v>
      </c>
      <c r="AF26" s="64">
        <f>SUM(G26:AE26)</f>
        <v>250415450</v>
      </c>
      <c r="AG26" s="23"/>
    </row>
    <row r="27" spans="2:33" x14ac:dyDescent="0.3">
      <c r="B27" s="61"/>
      <c r="C27" s="61"/>
      <c r="D27" s="61"/>
      <c r="E27" s="61"/>
      <c r="F27" s="64"/>
      <c r="G27" s="65"/>
      <c r="H27" s="65"/>
      <c r="I27" s="65"/>
      <c r="J27" s="65"/>
      <c r="K27" s="65"/>
      <c r="L27" s="65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23"/>
    </row>
    <row r="28" spans="2:33" x14ac:dyDescent="0.3">
      <c r="B28" s="61" t="s">
        <v>100</v>
      </c>
      <c r="C28" s="33"/>
      <c r="D28" s="33"/>
      <c r="E28" s="66">
        <v>0.45</v>
      </c>
      <c r="F28" s="67" t="s">
        <v>77</v>
      </c>
      <c r="G28" s="68">
        <f>E28</f>
        <v>0.45</v>
      </c>
      <c r="H28" s="69">
        <f t="shared" ref="H28:AE28" si="2">G28</f>
        <v>0.45</v>
      </c>
      <c r="I28" s="69">
        <f t="shared" si="2"/>
        <v>0.45</v>
      </c>
      <c r="J28" s="69">
        <f t="shared" si="2"/>
        <v>0.45</v>
      </c>
      <c r="K28" s="69">
        <f t="shared" si="2"/>
        <v>0.45</v>
      </c>
      <c r="L28" s="69">
        <f t="shared" si="2"/>
        <v>0.45</v>
      </c>
      <c r="M28" s="69">
        <f t="shared" si="2"/>
        <v>0.45</v>
      </c>
      <c r="N28" s="69">
        <f t="shared" si="2"/>
        <v>0.45</v>
      </c>
      <c r="O28" s="69">
        <f t="shared" si="2"/>
        <v>0.45</v>
      </c>
      <c r="P28" s="69">
        <f t="shared" si="2"/>
        <v>0.45</v>
      </c>
      <c r="Q28" s="69">
        <f t="shared" si="2"/>
        <v>0.45</v>
      </c>
      <c r="R28" s="69">
        <f t="shared" si="2"/>
        <v>0.45</v>
      </c>
      <c r="S28" s="69">
        <f t="shared" si="2"/>
        <v>0.45</v>
      </c>
      <c r="T28" s="69">
        <f t="shared" si="2"/>
        <v>0.45</v>
      </c>
      <c r="U28" s="69">
        <f t="shared" si="2"/>
        <v>0.45</v>
      </c>
      <c r="V28" s="69">
        <f t="shared" si="2"/>
        <v>0.45</v>
      </c>
      <c r="W28" s="69">
        <f t="shared" si="2"/>
        <v>0.45</v>
      </c>
      <c r="X28" s="69">
        <f t="shared" si="2"/>
        <v>0.45</v>
      </c>
      <c r="Y28" s="69">
        <f t="shared" si="2"/>
        <v>0.45</v>
      </c>
      <c r="Z28" s="69">
        <f t="shared" si="2"/>
        <v>0.45</v>
      </c>
      <c r="AA28" s="69">
        <f t="shared" si="2"/>
        <v>0.45</v>
      </c>
      <c r="AB28" s="69">
        <f t="shared" si="2"/>
        <v>0.45</v>
      </c>
      <c r="AC28" s="69">
        <f t="shared" si="2"/>
        <v>0.45</v>
      </c>
      <c r="AD28" s="69">
        <f t="shared" si="2"/>
        <v>0.45</v>
      </c>
      <c r="AE28" s="69">
        <f t="shared" si="2"/>
        <v>0.45</v>
      </c>
      <c r="AF28" s="69"/>
      <c r="AG28" s="23"/>
    </row>
    <row r="29" spans="2:33" x14ac:dyDescent="0.3">
      <c r="B29" s="61"/>
      <c r="C29" s="61"/>
      <c r="D29" s="61"/>
      <c r="E29" s="61"/>
      <c r="F29" s="61"/>
      <c r="G29" s="61"/>
      <c r="H29" s="70"/>
      <c r="I29" s="70"/>
      <c r="J29" s="70"/>
      <c r="K29" s="70"/>
      <c r="L29" s="70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23"/>
    </row>
    <row r="30" spans="2:33" x14ac:dyDescent="0.3">
      <c r="B30" s="61" t="s">
        <v>101</v>
      </c>
      <c r="C30" s="33"/>
      <c r="D30" s="33"/>
      <c r="E30" s="61"/>
      <c r="F30" s="67" t="s">
        <v>73</v>
      </c>
      <c r="G30" s="64">
        <f t="shared" ref="G30:AE30" si="3">G26*G28</f>
        <v>4507478.1000000006</v>
      </c>
      <c r="H30" s="64">
        <f t="shared" si="3"/>
        <v>4507478.1000000006</v>
      </c>
      <c r="I30" s="64">
        <f t="shared" si="3"/>
        <v>4507478.1000000006</v>
      </c>
      <c r="J30" s="64">
        <f t="shared" si="3"/>
        <v>4507478.1000000006</v>
      </c>
      <c r="K30" s="64">
        <f t="shared" si="3"/>
        <v>4507478.1000000006</v>
      </c>
      <c r="L30" s="64">
        <f t="shared" si="3"/>
        <v>4507478.1000000006</v>
      </c>
      <c r="M30" s="64">
        <f t="shared" si="3"/>
        <v>4507478.1000000006</v>
      </c>
      <c r="N30" s="64">
        <f t="shared" si="3"/>
        <v>4507478.1000000006</v>
      </c>
      <c r="O30" s="64">
        <f t="shared" si="3"/>
        <v>4507478.1000000006</v>
      </c>
      <c r="P30" s="64">
        <f t="shared" si="3"/>
        <v>4507478.1000000006</v>
      </c>
      <c r="Q30" s="64">
        <f t="shared" si="3"/>
        <v>4507478.1000000006</v>
      </c>
      <c r="R30" s="64">
        <f t="shared" si="3"/>
        <v>4507478.1000000006</v>
      </c>
      <c r="S30" s="64">
        <f t="shared" si="3"/>
        <v>4507478.1000000006</v>
      </c>
      <c r="T30" s="64">
        <f t="shared" si="3"/>
        <v>4507478.1000000006</v>
      </c>
      <c r="U30" s="64">
        <f t="shared" si="3"/>
        <v>4507478.1000000006</v>
      </c>
      <c r="V30" s="64">
        <f t="shared" si="3"/>
        <v>4507478.1000000006</v>
      </c>
      <c r="W30" s="64">
        <f t="shared" si="3"/>
        <v>4507478.1000000006</v>
      </c>
      <c r="X30" s="64">
        <f t="shared" si="3"/>
        <v>4507478.1000000006</v>
      </c>
      <c r="Y30" s="64">
        <f t="shared" si="3"/>
        <v>4507478.1000000006</v>
      </c>
      <c r="Z30" s="64">
        <f t="shared" si="3"/>
        <v>4507478.1000000006</v>
      </c>
      <c r="AA30" s="64">
        <f t="shared" si="3"/>
        <v>4507478.1000000006</v>
      </c>
      <c r="AB30" s="64">
        <f t="shared" si="3"/>
        <v>4507478.1000000006</v>
      </c>
      <c r="AC30" s="64">
        <f t="shared" si="3"/>
        <v>4507478.1000000006</v>
      </c>
      <c r="AD30" s="64">
        <f t="shared" si="3"/>
        <v>4507478.1000000006</v>
      </c>
      <c r="AE30" s="64">
        <f t="shared" si="3"/>
        <v>4507478.1000000006</v>
      </c>
      <c r="AF30" s="64">
        <f>SUM(G30:AE30)</f>
        <v>112686952.49999996</v>
      </c>
      <c r="AG30" s="23"/>
    </row>
    <row r="31" spans="2:33" ht="15" thickBot="1" x14ac:dyDescent="0.35"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23"/>
    </row>
    <row r="32" spans="2:33" x14ac:dyDescent="0.3">
      <c r="B32" s="8" t="s">
        <v>102</v>
      </c>
      <c r="C32" s="8"/>
      <c r="D32" s="8"/>
      <c r="E32" s="8"/>
      <c r="F32" s="72" t="s">
        <v>99</v>
      </c>
      <c r="G32" s="73">
        <f>Calcolo!$K$28*(1-0.15)</f>
        <v>8307695.6670621885</v>
      </c>
      <c r="H32" s="73">
        <f>Calcolo!$K$28*(1-0.15)</f>
        <v>8307695.6670621885</v>
      </c>
      <c r="I32" s="73">
        <f>Calcolo!$K$28*(1-0.15)</f>
        <v>8307695.6670621885</v>
      </c>
      <c r="J32" s="73">
        <f>Calcolo!$K$28*(1-0.15)</f>
        <v>8307695.6670621885</v>
      </c>
      <c r="K32" s="73">
        <f>Calcolo!$K$28*(1-0.15)</f>
        <v>8307695.6670621885</v>
      </c>
      <c r="L32" s="73">
        <f>Calcolo!$K$28*(1-0.15)</f>
        <v>8307695.6670621885</v>
      </c>
      <c r="M32" s="73">
        <f>Calcolo!$K$28*(1-0.15)</f>
        <v>8307695.6670621885</v>
      </c>
      <c r="N32" s="73">
        <f>Calcolo!$K$28*(1-0.15)</f>
        <v>8307695.6670621885</v>
      </c>
      <c r="O32" s="73">
        <f>Calcolo!$K$28*(1-0.15)</f>
        <v>8307695.6670621885</v>
      </c>
      <c r="P32" s="73">
        <f>Calcolo!$K$28*(1-0.15)</f>
        <v>8307695.6670621885</v>
      </c>
      <c r="Q32" s="73">
        <f>Calcolo!$K$28*(1-0.15)</f>
        <v>8307695.6670621885</v>
      </c>
      <c r="R32" s="73">
        <f>Calcolo!$K$28*(1-0.15)</f>
        <v>8307695.6670621885</v>
      </c>
      <c r="S32" s="73">
        <f>Calcolo!$K$28*(1-0.15)</f>
        <v>8307695.6670621885</v>
      </c>
      <c r="T32" s="73">
        <f>Calcolo!$K$28*(1-0.15)</f>
        <v>8307695.6670621885</v>
      </c>
      <c r="U32" s="73">
        <f>Calcolo!$K$28*(1-0.15)</f>
        <v>8307695.6670621885</v>
      </c>
      <c r="V32" s="73">
        <f>Calcolo!$K$28*(1-0.15)</f>
        <v>8307695.6670621885</v>
      </c>
      <c r="W32" s="73">
        <f>Calcolo!$K$28*(1-0.15)</f>
        <v>8307695.6670621885</v>
      </c>
      <c r="X32" s="73">
        <f>Calcolo!$K$28*(1-0.15)</f>
        <v>8307695.6670621885</v>
      </c>
      <c r="Y32" s="73">
        <f>Calcolo!$K$28*(1-0.15)</f>
        <v>8307695.6670621885</v>
      </c>
      <c r="Z32" s="73">
        <f>Calcolo!$K$28*(1-0.15)</f>
        <v>8307695.6670621885</v>
      </c>
      <c r="AA32" s="73">
        <f>Calcolo!$K$28*(1-0.15)</f>
        <v>8307695.6670621885</v>
      </c>
      <c r="AB32" s="73">
        <f>Calcolo!$K$28*(1-0.15)</f>
        <v>8307695.6670621885</v>
      </c>
      <c r="AC32" s="73">
        <f>Calcolo!$K$28*(1-0.15)</f>
        <v>8307695.6670621885</v>
      </c>
      <c r="AD32" s="73">
        <f>Calcolo!$K$28*(1-0.15)</f>
        <v>8307695.6670621885</v>
      </c>
      <c r="AE32" s="73">
        <f>Calcolo!$K$28*(1-0.15)</f>
        <v>8307695.6670621885</v>
      </c>
      <c r="AF32" s="8"/>
      <c r="AG32" s="23"/>
    </row>
    <row r="33" spans="2:33" x14ac:dyDescent="0.3">
      <c r="B33" s="61"/>
      <c r="C33" s="61"/>
      <c r="D33" s="61"/>
      <c r="E33" s="74"/>
      <c r="F33" s="67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23"/>
    </row>
    <row r="34" spans="2:33" x14ac:dyDescent="0.3">
      <c r="B34" s="61" t="s">
        <v>103</v>
      </c>
      <c r="C34" s="33"/>
      <c r="D34" s="75"/>
      <c r="E34" s="66">
        <f>0.15</f>
        <v>0.15</v>
      </c>
      <c r="F34" s="67" t="s">
        <v>77</v>
      </c>
      <c r="G34" s="66">
        <f>$E$34</f>
        <v>0.15</v>
      </c>
      <c r="H34" s="66">
        <f t="shared" ref="H34:AE34" si="4">$E$34</f>
        <v>0.15</v>
      </c>
      <c r="I34" s="66">
        <f t="shared" si="4"/>
        <v>0.15</v>
      </c>
      <c r="J34" s="66">
        <f t="shared" si="4"/>
        <v>0.15</v>
      </c>
      <c r="K34" s="66">
        <f t="shared" si="4"/>
        <v>0.15</v>
      </c>
      <c r="L34" s="66">
        <f t="shared" si="4"/>
        <v>0.15</v>
      </c>
      <c r="M34" s="66">
        <f t="shared" si="4"/>
        <v>0.15</v>
      </c>
      <c r="N34" s="66">
        <f t="shared" si="4"/>
        <v>0.15</v>
      </c>
      <c r="O34" s="66">
        <f t="shared" si="4"/>
        <v>0.15</v>
      </c>
      <c r="P34" s="66">
        <f t="shared" si="4"/>
        <v>0.15</v>
      </c>
      <c r="Q34" s="66">
        <f t="shared" si="4"/>
        <v>0.15</v>
      </c>
      <c r="R34" s="66">
        <f t="shared" si="4"/>
        <v>0.15</v>
      </c>
      <c r="S34" s="66">
        <f t="shared" si="4"/>
        <v>0.15</v>
      </c>
      <c r="T34" s="66">
        <f t="shared" si="4"/>
        <v>0.15</v>
      </c>
      <c r="U34" s="66">
        <f t="shared" si="4"/>
        <v>0.15</v>
      </c>
      <c r="V34" s="66">
        <f t="shared" si="4"/>
        <v>0.15</v>
      </c>
      <c r="W34" s="66">
        <f t="shared" si="4"/>
        <v>0.15</v>
      </c>
      <c r="X34" s="66">
        <f t="shared" si="4"/>
        <v>0.15</v>
      </c>
      <c r="Y34" s="66">
        <f t="shared" si="4"/>
        <v>0.15</v>
      </c>
      <c r="Z34" s="66">
        <f t="shared" si="4"/>
        <v>0.15</v>
      </c>
      <c r="AA34" s="66">
        <f t="shared" si="4"/>
        <v>0.15</v>
      </c>
      <c r="AB34" s="66">
        <f t="shared" si="4"/>
        <v>0.15</v>
      </c>
      <c r="AC34" s="66">
        <f t="shared" si="4"/>
        <v>0.15</v>
      </c>
      <c r="AD34" s="66">
        <f t="shared" si="4"/>
        <v>0.15</v>
      </c>
      <c r="AE34" s="66">
        <f t="shared" si="4"/>
        <v>0.15</v>
      </c>
      <c r="AF34" s="64"/>
      <c r="AG34" s="23"/>
    </row>
    <row r="35" spans="2:33" x14ac:dyDescent="0.3">
      <c r="B35" s="61"/>
      <c r="C35" s="33"/>
      <c r="D35" s="75"/>
      <c r="E35" s="66"/>
      <c r="F35" s="67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4"/>
      <c r="AG35" s="23"/>
    </row>
    <row r="36" spans="2:33" x14ac:dyDescent="0.3">
      <c r="B36" s="61" t="s">
        <v>104</v>
      </c>
      <c r="C36" s="33"/>
      <c r="D36" s="75"/>
      <c r="E36" s="66"/>
      <c r="F36" s="67" t="s">
        <v>73</v>
      </c>
      <c r="G36" s="66">
        <f>G32*G34</f>
        <v>1246154.3500593281</v>
      </c>
      <c r="H36" s="66">
        <f t="shared" ref="H36:AE36" si="5">H32*H34</f>
        <v>1246154.3500593281</v>
      </c>
      <c r="I36" s="66">
        <f t="shared" si="5"/>
        <v>1246154.3500593281</v>
      </c>
      <c r="J36" s="66">
        <f t="shared" si="5"/>
        <v>1246154.3500593281</v>
      </c>
      <c r="K36" s="66">
        <f t="shared" si="5"/>
        <v>1246154.3500593281</v>
      </c>
      <c r="L36" s="66">
        <f t="shared" si="5"/>
        <v>1246154.3500593281</v>
      </c>
      <c r="M36" s="66">
        <f t="shared" si="5"/>
        <v>1246154.3500593281</v>
      </c>
      <c r="N36" s="66">
        <f t="shared" si="5"/>
        <v>1246154.3500593281</v>
      </c>
      <c r="O36" s="66">
        <f t="shared" si="5"/>
        <v>1246154.3500593281</v>
      </c>
      <c r="P36" s="66">
        <f t="shared" si="5"/>
        <v>1246154.3500593281</v>
      </c>
      <c r="Q36" s="66">
        <f t="shared" si="5"/>
        <v>1246154.3500593281</v>
      </c>
      <c r="R36" s="66">
        <f t="shared" si="5"/>
        <v>1246154.3500593281</v>
      </c>
      <c r="S36" s="66">
        <f t="shared" si="5"/>
        <v>1246154.3500593281</v>
      </c>
      <c r="T36" s="66">
        <f t="shared" si="5"/>
        <v>1246154.3500593281</v>
      </c>
      <c r="U36" s="66">
        <f t="shared" si="5"/>
        <v>1246154.3500593281</v>
      </c>
      <c r="V36" s="66">
        <f t="shared" si="5"/>
        <v>1246154.3500593281</v>
      </c>
      <c r="W36" s="66">
        <f t="shared" si="5"/>
        <v>1246154.3500593281</v>
      </c>
      <c r="X36" s="66">
        <f t="shared" si="5"/>
        <v>1246154.3500593281</v>
      </c>
      <c r="Y36" s="66">
        <f t="shared" si="5"/>
        <v>1246154.3500593281</v>
      </c>
      <c r="Z36" s="66">
        <f t="shared" si="5"/>
        <v>1246154.3500593281</v>
      </c>
      <c r="AA36" s="66">
        <f t="shared" si="5"/>
        <v>1246154.3500593281</v>
      </c>
      <c r="AB36" s="66">
        <f t="shared" si="5"/>
        <v>1246154.3500593281</v>
      </c>
      <c r="AC36" s="66">
        <f t="shared" si="5"/>
        <v>1246154.3500593281</v>
      </c>
      <c r="AD36" s="66">
        <f t="shared" si="5"/>
        <v>1246154.3500593281</v>
      </c>
      <c r="AE36" s="66">
        <f t="shared" si="5"/>
        <v>1246154.3500593281</v>
      </c>
      <c r="AF36" s="64"/>
      <c r="AG36" s="23"/>
    </row>
    <row r="37" spans="2:33" ht="15" thickBot="1" x14ac:dyDescent="0.35">
      <c r="B37" s="76"/>
      <c r="C37" s="77"/>
      <c r="D37" s="78"/>
      <c r="E37" s="79"/>
      <c r="F37" s="80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81"/>
      <c r="AG37" s="23"/>
    </row>
    <row r="38" spans="2:33" x14ac:dyDescent="0.3">
      <c r="B38" s="82" t="s">
        <v>105</v>
      </c>
      <c r="C38" s="83"/>
      <c r="D38" s="84"/>
      <c r="E38" s="85"/>
      <c r="F38" s="67" t="s">
        <v>73</v>
      </c>
      <c r="G38" s="85">
        <f>Calcolo!$D$106</f>
        <v>141726.92498521699</v>
      </c>
      <c r="H38" s="85">
        <f>Calcolo!$D$106</f>
        <v>141726.92498521699</v>
      </c>
      <c r="I38" s="85">
        <f>Calcolo!$D$106</f>
        <v>141726.92498521699</v>
      </c>
      <c r="J38" s="85">
        <f>Calcolo!$D$106</f>
        <v>141726.92498521699</v>
      </c>
      <c r="K38" s="85">
        <f>Calcolo!$D$106</f>
        <v>141726.92498521699</v>
      </c>
      <c r="L38" s="85">
        <f>Calcolo!$D$106</f>
        <v>141726.92498521699</v>
      </c>
      <c r="M38" s="85">
        <f>Calcolo!$D$106</f>
        <v>141726.92498521699</v>
      </c>
      <c r="N38" s="85">
        <f>Calcolo!$D$106</f>
        <v>141726.92498521699</v>
      </c>
      <c r="O38" s="85">
        <f>Calcolo!$D$106</f>
        <v>141726.92498521699</v>
      </c>
      <c r="P38" s="85">
        <f>Calcolo!$D$106</f>
        <v>141726.92498521699</v>
      </c>
      <c r="Q38" s="85">
        <f>Calcolo!$D$106</f>
        <v>141726.92498521699</v>
      </c>
      <c r="R38" s="85">
        <f>Calcolo!$D$106</f>
        <v>141726.92498521699</v>
      </c>
      <c r="S38" s="85">
        <f>Calcolo!$D$106</f>
        <v>141726.92498521699</v>
      </c>
      <c r="T38" s="85">
        <f>Calcolo!$D$106</f>
        <v>141726.92498521699</v>
      </c>
      <c r="U38" s="85">
        <f>Calcolo!$D$106</f>
        <v>141726.92498521699</v>
      </c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6"/>
      <c r="AG38" s="23"/>
    </row>
    <row r="39" spans="2:33" ht="15" thickBot="1" x14ac:dyDescent="0.35">
      <c r="B39" s="87"/>
      <c r="C39" s="88"/>
      <c r="D39" s="89"/>
      <c r="E39" s="90"/>
      <c r="F39" s="91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2"/>
      <c r="AG39" s="23"/>
    </row>
    <row r="40" spans="2:33" x14ac:dyDescent="0.3">
      <c r="B40" s="61"/>
      <c r="C40" s="61"/>
      <c r="D40" s="61"/>
      <c r="E40" s="74"/>
      <c r="F40" s="67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23"/>
    </row>
    <row r="41" spans="2:33" x14ac:dyDescent="0.3">
      <c r="B41" s="61" t="s">
        <v>106</v>
      </c>
      <c r="C41" s="61"/>
      <c r="D41" s="61"/>
      <c r="E41" s="61"/>
      <c r="F41" s="93"/>
      <c r="G41" s="94">
        <v>0</v>
      </c>
      <c r="H41" s="94">
        <f t="shared" ref="H41:AE41" si="6">+$C$6</f>
        <v>5.0000000000000001E-3</v>
      </c>
      <c r="I41" s="94">
        <f t="shared" si="6"/>
        <v>5.0000000000000001E-3</v>
      </c>
      <c r="J41" s="94">
        <f t="shared" si="6"/>
        <v>5.0000000000000001E-3</v>
      </c>
      <c r="K41" s="94">
        <f t="shared" si="6"/>
        <v>5.0000000000000001E-3</v>
      </c>
      <c r="L41" s="94">
        <f t="shared" si="6"/>
        <v>5.0000000000000001E-3</v>
      </c>
      <c r="M41" s="94">
        <f t="shared" si="6"/>
        <v>5.0000000000000001E-3</v>
      </c>
      <c r="N41" s="94">
        <f t="shared" si="6"/>
        <v>5.0000000000000001E-3</v>
      </c>
      <c r="O41" s="94">
        <f t="shared" si="6"/>
        <v>5.0000000000000001E-3</v>
      </c>
      <c r="P41" s="94">
        <f t="shared" si="6"/>
        <v>5.0000000000000001E-3</v>
      </c>
      <c r="Q41" s="94">
        <f t="shared" si="6"/>
        <v>5.0000000000000001E-3</v>
      </c>
      <c r="R41" s="94">
        <f t="shared" si="6"/>
        <v>5.0000000000000001E-3</v>
      </c>
      <c r="S41" s="94">
        <f t="shared" si="6"/>
        <v>5.0000000000000001E-3</v>
      </c>
      <c r="T41" s="94">
        <f t="shared" si="6"/>
        <v>5.0000000000000001E-3</v>
      </c>
      <c r="U41" s="94">
        <f t="shared" si="6"/>
        <v>5.0000000000000001E-3</v>
      </c>
      <c r="V41" s="94">
        <f t="shared" si="6"/>
        <v>5.0000000000000001E-3</v>
      </c>
      <c r="W41" s="94">
        <f t="shared" si="6"/>
        <v>5.0000000000000001E-3</v>
      </c>
      <c r="X41" s="94">
        <f t="shared" si="6"/>
        <v>5.0000000000000001E-3</v>
      </c>
      <c r="Y41" s="94">
        <f t="shared" si="6"/>
        <v>5.0000000000000001E-3</v>
      </c>
      <c r="Z41" s="94">
        <f t="shared" si="6"/>
        <v>5.0000000000000001E-3</v>
      </c>
      <c r="AA41" s="94">
        <f t="shared" si="6"/>
        <v>5.0000000000000001E-3</v>
      </c>
      <c r="AB41" s="94">
        <f t="shared" si="6"/>
        <v>5.0000000000000001E-3</v>
      </c>
      <c r="AC41" s="94">
        <f t="shared" si="6"/>
        <v>5.0000000000000001E-3</v>
      </c>
      <c r="AD41" s="94">
        <f t="shared" si="6"/>
        <v>5.0000000000000001E-3</v>
      </c>
      <c r="AE41" s="94">
        <f t="shared" si="6"/>
        <v>5.0000000000000001E-3</v>
      </c>
      <c r="AF41" s="94"/>
      <c r="AG41" s="23"/>
    </row>
    <row r="42" spans="2:33" x14ac:dyDescent="0.3">
      <c r="B42" s="61" t="s">
        <v>107</v>
      </c>
      <c r="C42" s="61"/>
      <c r="D42" s="61"/>
      <c r="E42" s="33"/>
      <c r="F42" s="61"/>
      <c r="G42" s="69">
        <v>1</v>
      </c>
      <c r="H42" s="69">
        <f t="shared" ref="H42:AE42" si="7">G42*(1+$C6)</f>
        <v>1.0049999999999999</v>
      </c>
      <c r="I42" s="69">
        <f t="shared" si="7"/>
        <v>1.0100249999999997</v>
      </c>
      <c r="J42" s="69">
        <f t="shared" si="7"/>
        <v>1.0150751249999996</v>
      </c>
      <c r="K42" s="69">
        <f t="shared" si="7"/>
        <v>1.0201505006249996</v>
      </c>
      <c r="L42" s="69">
        <f t="shared" si="7"/>
        <v>1.0252512531281244</v>
      </c>
      <c r="M42" s="69">
        <f t="shared" si="7"/>
        <v>1.0303775093937648</v>
      </c>
      <c r="N42" s="69">
        <f t="shared" si="7"/>
        <v>1.0355293969407335</v>
      </c>
      <c r="O42" s="69">
        <f t="shared" si="7"/>
        <v>1.0407070439254371</v>
      </c>
      <c r="P42" s="69">
        <f t="shared" si="7"/>
        <v>1.0459105791450642</v>
      </c>
      <c r="Q42" s="69">
        <f t="shared" si="7"/>
        <v>1.0511401320407894</v>
      </c>
      <c r="R42" s="69">
        <f t="shared" si="7"/>
        <v>1.0563958327009932</v>
      </c>
      <c r="S42" s="69">
        <f t="shared" si="7"/>
        <v>1.0616778118644981</v>
      </c>
      <c r="T42" s="69">
        <f t="shared" si="7"/>
        <v>1.0669862009238205</v>
      </c>
      <c r="U42" s="69">
        <f t="shared" si="7"/>
        <v>1.0723211319284394</v>
      </c>
      <c r="V42" s="69">
        <f t="shared" si="7"/>
        <v>1.0776827375880815</v>
      </c>
      <c r="W42" s="69">
        <f t="shared" si="7"/>
        <v>1.0830711512760218</v>
      </c>
      <c r="X42" s="69">
        <f t="shared" si="7"/>
        <v>1.0884865070324019</v>
      </c>
      <c r="Y42" s="69">
        <f t="shared" si="7"/>
        <v>1.0939289395675638</v>
      </c>
      <c r="Z42" s="69">
        <f t="shared" si="7"/>
        <v>1.0993985842654015</v>
      </c>
      <c r="AA42" s="69">
        <f t="shared" si="7"/>
        <v>1.1048955771867284</v>
      </c>
      <c r="AB42" s="69">
        <f t="shared" si="7"/>
        <v>1.1104200550726619</v>
      </c>
      <c r="AC42" s="69">
        <f t="shared" si="7"/>
        <v>1.1159721553480251</v>
      </c>
      <c r="AD42" s="69">
        <f t="shared" si="7"/>
        <v>1.1215520161247652</v>
      </c>
      <c r="AE42" s="69">
        <f t="shared" si="7"/>
        <v>1.1271597762053889</v>
      </c>
      <c r="AF42" s="69"/>
      <c r="AG42" s="23"/>
    </row>
    <row r="43" spans="2:33" ht="15.6" x14ac:dyDescent="0.3">
      <c r="B43" s="57" t="s">
        <v>108</v>
      </c>
      <c r="C43" s="58"/>
      <c r="D43" s="58"/>
      <c r="E43" s="58"/>
      <c r="F43" s="59" t="s">
        <v>73</v>
      </c>
      <c r="G43" s="95">
        <f>G30+G36+G38</f>
        <v>5895359.3750445452</v>
      </c>
      <c r="H43" s="95">
        <f t="shared" ref="H43:AE43" si="8">H30+H36+H38</f>
        <v>5895359.3750445452</v>
      </c>
      <c r="I43" s="95">
        <f t="shared" si="8"/>
        <v>5895359.3750445452</v>
      </c>
      <c r="J43" s="95">
        <f t="shared" si="8"/>
        <v>5895359.3750445452</v>
      </c>
      <c r="K43" s="95">
        <f t="shared" si="8"/>
        <v>5895359.3750445452</v>
      </c>
      <c r="L43" s="95">
        <f t="shared" si="8"/>
        <v>5895359.3750445452</v>
      </c>
      <c r="M43" s="95">
        <f t="shared" si="8"/>
        <v>5895359.3750445452</v>
      </c>
      <c r="N43" s="95">
        <f t="shared" si="8"/>
        <v>5895359.3750445452</v>
      </c>
      <c r="O43" s="95">
        <f t="shared" si="8"/>
        <v>5895359.3750445452</v>
      </c>
      <c r="P43" s="95">
        <f t="shared" si="8"/>
        <v>5895359.3750445452</v>
      </c>
      <c r="Q43" s="95">
        <f t="shared" si="8"/>
        <v>5895359.3750445452</v>
      </c>
      <c r="R43" s="95">
        <f t="shared" si="8"/>
        <v>5895359.3750445452</v>
      </c>
      <c r="S43" s="95">
        <f t="shared" si="8"/>
        <v>5895359.3750445452</v>
      </c>
      <c r="T43" s="95">
        <f t="shared" si="8"/>
        <v>5895359.3750445452</v>
      </c>
      <c r="U43" s="95">
        <f t="shared" si="8"/>
        <v>5895359.3750445452</v>
      </c>
      <c r="V43" s="95">
        <f t="shared" si="8"/>
        <v>5753632.4500593282</v>
      </c>
      <c r="W43" s="95">
        <f t="shared" si="8"/>
        <v>5753632.4500593282</v>
      </c>
      <c r="X43" s="95">
        <f t="shared" si="8"/>
        <v>5753632.4500593282</v>
      </c>
      <c r="Y43" s="95">
        <f t="shared" si="8"/>
        <v>5753632.4500593282</v>
      </c>
      <c r="Z43" s="95">
        <f t="shared" si="8"/>
        <v>5753632.4500593282</v>
      </c>
      <c r="AA43" s="95">
        <f t="shared" si="8"/>
        <v>5753632.4500593282</v>
      </c>
      <c r="AB43" s="95">
        <f t="shared" si="8"/>
        <v>5753632.4500593282</v>
      </c>
      <c r="AC43" s="95">
        <f t="shared" si="8"/>
        <v>5753632.4500593282</v>
      </c>
      <c r="AD43" s="95">
        <f t="shared" si="8"/>
        <v>5753632.4500593282</v>
      </c>
      <c r="AE43" s="95">
        <f t="shared" si="8"/>
        <v>5753632.4500593282</v>
      </c>
      <c r="AF43" s="95">
        <f>SUM(G43:AE43)</f>
        <v>145966715.12626141</v>
      </c>
      <c r="AG43" s="60"/>
    </row>
    <row r="44" spans="2:33" x14ac:dyDescent="0.3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2:33" x14ac:dyDescent="0.3">
      <c r="B45" s="23" t="s">
        <v>109</v>
      </c>
      <c r="C45" s="23"/>
      <c r="D45" s="23">
        <f>Calcolo!D69/100*(Calcolo!M35+Calcolo!Q35+Calcolo!U34)</f>
        <v>4978109.1967407679</v>
      </c>
      <c r="E45" s="23"/>
      <c r="F45" s="67" t="s">
        <v>73</v>
      </c>
      <c r="G45" s="23">
        <f>$D$45*G42</f>
        <v>4978109.1967407679</v>
      </c>
      <c r="H45" s="23">
        <f t="shared" ref="H45:AE45" si="9">$D$45*H42</f>
        <v>5002999.7427244708</v>
      </c>
      <c r="I45" s="23">
        <f t="shared" si="9"/>
        <v>5028014.7414380927</v>
      </c>
      <c r="J45" s="23">
        <f t="shared" si="9"/>
        <v>5053154.815145283</v>
      </c>
      <c r="K45" s="23">
        <f t="shared" si="9"/>
        <v>5078420.5892210091</v>
      </c>
      <c r="L45" s="23">
        <f t="shared" si="9"/>
        <v>5103812.6921671126</v>
      </c>
      <c r="M45" s="23">
        <f t="shared" si="9"/>
        <v>5129331.7556279479</v>
      </c>
      <c r="N45" s="23">
        <f t="shared" si="9"/>
        <v>5154978.4144060872</v>
      </c>
      <c r="O45" s="23">
        <f t="shared" si="9"/>
        <v>5180753.3064781167</v>
      </c>
      <c r="P45" s="23">
        <f t="shared" si="9"/>
        <v>5206657.073010507</v>
      </c>
      <c r="Q45" s="23">
        <f t="shared" si="9"/>
        <v>5232690.3583755586</v>
      </c>
      <c r="R45" s="23">
        <f t="shared" si="9"/>
        <v>5258853.8101674365</v>
      </c>
      <c r="S45" s="23">
        <f t="shared" si="9"/>
        <v>5285148.0792182721</v>
      </c>
      <c r="T45" s="23">
        <f t="shared" si="9"/>
        <v>5311573.8196143638</v>
      </c>
      <c r="U45" s="23">
        <f t="shared" si="9"/>
        <v>5338131.6887124339</v>
      </c>
      <c r="V45" s="23">
        <f t="shared" si="9"/>
        <v>5364822.3471559966</v>
      </c>
      <c r="W45" s="23">
        <f t="shared" si="9"/>
        <v>5391646.4588917755</v>
      </c>
      <c r="X45" s="23">
        <f t="shared" si="9"/>
        <v>5418604.6911862344</v>
      </c>
      <c r="Y45" s="23">
        <f t="shared" si="9"/>
        <v>5445697.7146421652</v>
      </c>
      <c r="Z45" s="23">
        <f t="shared" si="9"/>
        <v>5472926.2032153755</v>
      </c>
      <c r="AA45" s="23">
        <f t="shared" si="9"/>
        <v>5500290.8342314512</v>
      </c>
      <c r="AB45" s="23">
        <f t="shared" si="9"/>
        <v>5527792.2884026086</v>
      </c>
      <c r="AC45" s="23">
        <f t="shared" si="9"/>
        <v>5555431.2498446209</v>
      </c>
      <c r="AD45" s="23">
        <f t="shared" si="9"/>
        <v>5583208.4060938433</v>
      </c>
      <c r="AE45" s="23">
        <f t="shared" si="9"/>
        <v>5611124.4481243119</v>
      </c>
      <c r="AF45" s="23">
        <f>SUM(G45:AE45)</f>
        <v>132214174.72483584</v>
      </c>
      <c r="AG45" s="23"/>
    </row>
    <row r="46" spans="2:33" x14ac:dyDescent="0.3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2:33" x14ac:dyDescent="0.3">
      <c r="B47" s="61" t="s">
        <v>110</v>
      </c>
      <c r="C47" s="33"/>
      <c r="D47" s="96">
        <f>Calcolo!D71/100*(Calcolo!J25+Calcolo!J26+Calcolo!J27)</f>
        <v>62400.432000000001</v>
      </c>
      <c r="E47" s="97"/>
      <c r="F47" s="67" t="s">
        <v>73</v>
      </c>
      <c r="G47" s="64">
        <f t="shared" ref="G47:AE47" si="10">$D$47*G42</f>
        <v>62400.432000000001</v>
      </c>
      <c r="H47" s="64">
        <f t="shared" si="10"/>
        <v>62712.434159999997</v>
      </c>
      <c r="I47" s="64">
        <f t="shared" si="10"/>
        <v>63025.996330799986</v>
      </c>
      <c r="J47" s="64">
        <f t="shared" si="10"/>
        <v>63341.126312453976</v>
      </c>
      <c r="K47" s="64">
        <f t="shared" si="10"/>
        <v>63657.831944016245</v>
      </c>
      <c r="L47" s="64">
        <f t="shared" si="10"/>
        <v>63976.12110373631</v>
      </c>
      <c r="M47" s="64">
        <f t="shared" si="10"/>
        <v>64296.001709254982</v>
      </c>
      <c r="N47" s="64">
        <f t="shared" si="10"/>
        <v>64617.481717801253</v>
      </c>
      <c r="O47" s="64">
        <f t="shared" si="10"/>
        <v>64940.569126390255</v>
      </c>
      <c r="P47" s="64">
        <f t="shared" si="10"/>
        <v>65265.271972022201</v>
      </c>
      <c r="Q47" s="64">
        <f t="shared" si="10"/>
        <v>65591.598331882298</v>
      </c>
      <c r="R47" s="64">
        <f t="shared" si="10"/>
        <v>65919.556323541707</v>
      </c>
      <c r="S47" s="64">
        <f t="shared" si="10"/>
        <v>66249.15410515941</v>
      </c>
      <c r="T47" s="64">
        <f t="shared" si="10"/>
        <v>66580.399875685194</v>
      </c>
      <c r="U47" s="64">
        <f t="shared" si="10"/>
        <v>66913.301875063611</v>
      </c>
      <c r="V47" s="64">
        <f t="shared" si="10"/>
        <v>67247.868384438931</v>
      </c>
      <c r="W47" s="64">
        <f t="shared" si="10"/>
        <v>67584.107726361108</v>
      </c>
      <c r="X47" s="64">
        <f t="shared" si="10"/>
        <v>67922.028264992914</v>
      </c>
      <c r="Y47" s="64">
        <f t="shared" si="10"/>
        <v>68261.63840631787</v>
      </c>
      <c r="Z47" s="64">
        <f t="shared" si="10"/>
        <v>68602.946598349459</v>
      </c>
      <c r="AA47" s="64">
        <f t="shared" si="10"/>
        <v>68945.961331341197</v>
      </c>
      <c r="AB47" s="64">
        <f t="shared" si="10"/>
        <v>69290.691137997899</v>
      </c>
      <c r="AC47" s="64">
        <f t="shared" si="10"/>
        <v>69637.144593687874</v>
      </c>
      <c r="AD47" s="64">
        <f t="shared" si="10"/>
        <v>69985.330316656313</v>
      </c>
      <c r="AE47" s="64">
        <f t="shared" si="10"/>
        <v>70335.256968239584</v>
      </c>
      <c r="AF47" s="64">
        <f>SUM(G47:AE47)</f>
        <v>1657300.2506161905</v>
      </c>
      <c r="AG47" s="23"/>
    </row>
    <row r="48" spans="2:33" x14ac:dyDescent="0.3">
      <c r="B48" s="61" t="s">
        <v>111</v>
      </c>
      <c r="C48" s="33"/>
      <c r="D48" s="96">
        <f>Calcolo!D73/100*(Calcolo!J25+Calcolo!J26+Calcolo!J27)</f>
        <v>14829</v>
      </c>
      <c r="E48" s="98"/>
      <c r="F48" s="67" t="s">
        <v>73</v>
      </c>
      <c r="G48" s="64">
        <f>$D$48*G42</f>
        <v>14829</v>
      </c>
      <c r="H48" s="64">
        <f t="shared" ref="H48:AE48" si="11">$D$48*H42</f>
        <v>14903.144999999999</v>
      </c>
      <c r="I48" s="64">
        <f t="shared" si="11"/>
        <v>14977.660724999996</v>
      </c>
      <c r="J48" s="64">
        <f t="shared" si="11"/>
        <v>15052.549028624995</v>
      </c>
      <c r="K48" s="64">
        <f t="shared" si="11"/>
        <v>15127.811773768119</v>
      </c>
      <c r="L48" s="64">
        <f t="shared" si="11"/>
        <v>15203.450832636956</v>
      </c>
      <c r="M48" s="64">
        <f t="shared" si="11"/>
        <v>15279.468086800138</v>
      </c>
      <c r="N48" s="64">
        <f t="shared" si="11"/>
        <v>15355.865427234137</v>
      </c>
      <c r="O48" s="64">
        <f t="shared" si="11"/>
        <v>15432.644754370307</v>
      </c>
      <c r="P48" s="64">
        <f t="shared" si="11"/>
        <v>15509.807978142158</v>
      </c>
      <c r="Q48" s="64">
        <f t="shared" si="11"/>
        <v>15587.357018032866</v>
      </c>
      <c r="R48" s="64">
        <f t="shared" si="11"/>
        <v>15665.29380312303</v>
      </c>
      <c r="S48" s="64">
        <f t="shared" si="11"/>
        <v>15743.620272138642</v>
      </c>
      <c r="T48" s="64">
        <f t="shared" si="11"/>
        <v>15822.338373499333</v>
      </c>
      <c r="U48" s="64">
        <f t="shared" si="11"/>
        <v>15901.450065366827</v>
      </c>
      <c r="V48" s="64">
        <f t="shared" si="11"/>
        <v>15980.95731569366</v>
      </c>
      <c r="W48" s="64">
        <f t="shared" si="11"/>
        <v>16060.862102272127</v>
      </c>
      <c r="X48" s="64">
        <f t="shared" si="11"/>
        <v>16141.166412783488</v>
      </c>
      <c r="Y48" s="64">
        <f t="shared" si="11"/>
        <v>16221.872244847404</v>
      </c>
      <c r="Z48" s="64">
        <f t="shared" si="11"/>
        <v>16302.981606071638</v>
      </c>
      <c r="AA48" s="64">
        <f t="shared" si="11"/>
        <v>16384.496514101997</v>
      </c>
      <c r="AB48" s="64">
        <f t="shared" si="11"/>
        <v>16466.418996672503</v>
      </c>
      <c r="AC48" s="64">
        <f t="shared" si="11"/>
        <v>16548.751091655864</v>
      </c>
      <c r="AD48" s="64">
        <f t="shared" si="11"/>
        <v>16631.494847114143</v>
      </c>
      <c r="AE48" s="64">
        <f t="shared" si="11"/>
        <v>16714.652321349713</v>
      </c>
      <c r="AF48" s="64">
        <f>SUM(G48:AE48)</f>
        <v>393845.11659130006</v>
      </c>
      <c r="AG48" s="23"/>
    </row>
    <row r="49" spans="2:33" x14ac:dyDescent="0.3">
      <c r="B49" s="61" t="s">
        <v>112</v>
      </c>
      <c r="C49" s="33"/>
      <c r="D49" s="96">
        <f>Calcolo!D75/100*(Calcolo!J25+Calcolo!J26+Calcolo!J27)</f>
        <v>7414.5</v>
      </c>
      <c r="E49" s="98"/>
      <c r="F49" s="67" t="s">
        <v>73</v>
      </c>
      <c r="G49" s="64">
        <f>$D$49*G42</f>
        <v>7414.5</v>
      </c>
      <c r="H49" s="64">
        <f t="shared" ref="H49:AE49" si="12">$D$49*H42</f>
        <v>7451.5724999999993</v>
      </c>
      <c r="I49" s="64">
        <f t="shared" si="12"/>
        <v>7488.830362499998</v>
      </c>
      <c r="J49" s="64">
        <f t="shared" si="12"/>
        <v>7526.2745143124976</v>
      </c>
      <c r="K49" s="64">
        <f t="shared" si="12"/>
        <v>7563.9058868840593</v>
      </c>
      <c r="L49" s="64">
        <f t="shared" si="12"/>
        <v>7601.725416318478</v>
      </c>
      <c r="M49" s="64">
        <f t="shared" si="12"/>
        <v>7639.7340434000689</v>
      </c>
      <c r="N49" s="64">
        <f t="shared" si="12"/>
        <v>7677.9327136170687</v>
      </c>
      <c r="O49" s="64">
        <f t="shared" si="12"/>
        <v>7716.3223771851535</v>
      </c>
      <c r="P49" s="64">
        <f t="shared" si="12"/>
        <v>7754.9039890710792</v>
      </c>
      <c r="Q49" s="64">
        <f t="shared" si="12"/>
        <v>7793.6785090164331</v>
      </c>
      <c r="R49" s="64">
        <f t="shared" si="12"/>
        <v>7832.6469015615148</v>
      </c>
      <c r="S49" s="64">
        <f t="shared" si="12"/>
        <v>7871.8101360693208</v>
      </c>
      <c r="T49" s="64">
        <f t="shared" si="12"/>
        <v>7911.1691867496666</v>
      </c>
      <c r="U49" s="64">
        <f t="shared" si="12"/>
        <v>7950.7250326834137</v>
      </c>
      <c r="V49" s="64">
        <f t="shared" si="12"/>
        <v>7990.4786578468302</v>
      </c>
      <c r="W49" s="64">
        <f t="shared" si="12"/>
        <v>8030.4310511360636</v>
      </c>
      <c r="X49" s="64">
        <f t="shared" si="12"/>
        <v>8070.5832063917442</v>
      </c>
      <c r="Y49" s="64">
        <f t="shared" si="12"/>
        <v>8110.9361224237018</v>
      </c>
      <c r="Z49" s="64">
        <f t="shared" si="12"/>
        <v>8151.4908030358192</v>
      </c>
      <c r="AA49" s="64">
        <f t="shared" si="12"/>
        <v>8192.2482570509983</v>
      </c>
      <c r="AB49" s="64">
        <f t="shared" si="12"/>
        <v>8233.2094983362513</v>
      </c>
      <c r="AC49" s="64">
        <f t="shared" si="12"/>
        <v>8274.375545827932</v>
      </c>
      <c r="AD49" s="64">
        <f t="shared" si="12"/>
        <v>8315.7474235570717</v>
      </c>
      <c r="AE49" s="64">
        <f t="shared" si="12"/>
        <v>8357.3261606748565</v>
      </c>
      <c r="AF49" s="64">
        <f>SUM(G49:AE49)</f>
        <v>196922.55829565003</v>
      </c>
      <c r="AG49" s="23"/>
    </row>
    <row r="50" spans="2:33" x14ac:dyDescent="0.3">
      <c r="B50" s="61"/>
      <c r="C50" s="33"/>
      <c r="D50" s="96"/>
      <c r="E50" s="99"/>
      <c r="F50" s="67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23"/>
    </row>
    <row r="51" spans="2:33" ht="15.6" x14ac:dyDescent="0.3">
      <c r="B51" s="57" t="s">
        <v>113</v>
      </c>
      <c r="C51" s="58"/>
      <c r="D51" s="58"/>
      <c r="E51" s="58"/>
      <c r="F51" s="59" t="s">
        <v>73</v>
      </c>
      <c r="G51" s="95">
        <f>SUM(G45:G50)</f>
        <v>5062753.1287407679</v>
      </c>
      <c r="H51" s="95">
        <f t="shared" ref="H51:AE51" si="13">SUM(H45:H50)</f>
        <v>5088066.8943844698</v>
      </c>
      <c r="I51" s="95">
        <f t="shared" si="13"/>
        <v>5113507.2288563922</v>
      </c>
      <c r="J51" s="95">
        <f t="shared" si="13"/>
        <v>5139074.7650006749</v>
      </c>
      <c r="K51" s="95">
        <f t="shared" si="13"/>
        <v>5164770.1388256764</v>
      </c>
      <c r="L51" s="95">
        <f t="shared" si="13"/>
        <v>5190593.9895198047</v>
      </c>
      <c r="M51" s="95">
        <f t="shared" si="13"/>
        <v>5216546.9594674036</v>
      </c>
      <c r="N51" s="95">
        <f t="shared" si="13"/>
        <v>5242629.6942647398</v>
      </c>
      <c r="O51" s="95">
        <f t="shared" si="13"/>
        <v>5268842.8427360626</v>
      </c>
      <c r="P51" s="95">
        <f t="shared" si="13"/>
        <v>5295187.0569497421</v>
      </c>
      <c r="Q51" s="95">
        <f t="shared" si="13"/>
        <v>5321662.9922344908</v>
      </c>
      <c r="R51" s="95">
        <f t="shared" si="13"/>
        <v>5348271.3071956625</v>
      </c>
      <c r="S51" s="95">
        <f t="shared" si="13"/>
        <v>5375012.6637316402</v>
      </c>
      <c r="T51" s="95">
        <f t="shared" si="13"/>
        <v>5401887.7270502979</v>
      </c>
      <c r="U51" s="95">
        <f t="shared" si="13"/>
        <v>5428897.1656855475</v>
      </c>
      <c r="V51" s="95">
        <f t="shared" si="13"/>
        <v>5456041.651513976</v>
      </c>
      <c r="W51" s="95">
        <f t="shared" si="13"/>
        <v>5483321.8597715441</v>
      </c>
      <c r="X51" s="95">
        <f t="shared" si="13"/>
        <v>5510738.4690704029</v>
      </c>
      <c r="Y51" s="95">
        <f t="shared" si="13"/>
        <v>5538292.1614157539</v>
      </c>
      <c r="Z51" s="95">
        <f t="shared" si="13"/>
        <v>5565983.6222228324</v>
      </c>
      <c r="AA51" s="95">
        <f t="shared" si="13"/>
        <v>5593813.5403339462</v>
      </c>
      <c r="AB51" s="95">
        <f t="shared" si="13"/>
        <v>5621782.6080356156</v>
      </c>
      <c r="AC51" s="95">
        <f t="shared" si="13"/>
        <v>5649891.5210757926</v>
      </c>
      <c r="AD51" s="95">
        <f t="shared" si="13"/>
        <v>5678140.9786811704</v>
      </c>
      <c r="AE51" s="95">
        <f t="shared" si="13"/>
        <v>5706531.6835745759</v>
      </c>
      <c r="AF51" s="95">
        <f>SUM(G51:AE51)</f>
        <v>134462242.65033901</v>
      </c>
      <c r="AG51" s="60"/>
    </row>
    <row r="52" spans="2:33" x14ac:dyDescent="0.3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2:33" ht="15.6" x14ac:dyDescent="0.3">
      <c r="B53" s="57" t="s">
        <v>114</v>
      </c>
      <c r="C53" s="58"/>
      <c r="D53" s="58"/>
      <c r="E53" s="58"/>
      <c r="F53" s="59" t="s">
        <v>73</v>
      </c>
      <c r="G53" s="95">
        <f t="shared" ref="G53:AE53" si="14">G43-G51</f>
        <v>832606.24630377721</v>
      </c>
      <c r="H53" s="95">
        <f t="shared" si="14"/>
        <v>807292.48066007532</v>
      </c>
      <c r="I53" s="95">
        <f t="shared" si="14"/>
        <v>781852.14618815295</v>
      </c>
      <c r="J53" s="95">
        <f t="shared" si="14"/>
        <v>756284.61004387029</v>
      </c>
      <c r="K53" s="95">
        <f t="shared" si="14"/>
        <v>730589.23621886875</v>
      </c>
      <c r="L53" s="95">
        <f t="shared" si="14"/>
        <v>704765.38552474044</v>
      </c>
      <c r="M53" s="95">
        <f t="shared" si="14"/>
        <v>678812.41557714157</v>
      </c>
      <c r="N53" s="95">
        <f t="shared" si="14"/>
        <v>652729.68077980541</v>
      </c>
      <c r="O53" s="95">
        <f t="shared" si="14"/>
        <v>626516.53230848256</v>
      </c>
      <c r="P53" s="95">
        <f t="shared" si="14"/>
        <v>600172.31809480302</v>
      </c>
      <c r="Q53" s="95">
        <f t="shared" si="14"/>
        <v>573696.38281005435</v>
      </c>
      <c r="R53" s="95">
        <f t="shared" si="14"/>
        <v>547088.06784888264</v>
      </c>
      <c r="S53" s="95">
        <f t="shared" si="14"/>
        <v>520346.71131290495</v>
      </c>
      <c r="T53" s="95">
        <f t="shared" si="14"/>
        <v>493471.64799424727</v>
      </c>
      <c r="U53" s="95">
        <f t="shared" si="14"/>
        <v>466462.20935899764</v>
      </c>
      <c r="V53" s="95">
        <f t="shared" si="14"/>
        <v>297590.79854535218</v>
      </c>
      <c r="W53" s="95">
        <f t="shared" si="14"/>
        <v>270310.59028778411</v>
      </c>
      <c r="X53" s="95">
        <f t="shared" si="14"/>
        <v>242893.98098892532</v>
      </c>
      <c r="Y53" s="95">
        <f t="shared" si="14"/>
        <v>215340.28864357434</v>
      </c>
      <c r="Z53" s="95">
        <f t="shared" si="14"/>
        <v>187648.82783649582</v>
      </c>
      <c r="AA53" s="95">
        <f t="shared" si="14"/>
        <v>159818.90972538199</v>
      </c>
      <c r="AB53" s="95">
        <f t="shared" si="14"/>
        <v>131849.84202371258</v>
      </c>
      <c r="AC53" s="95">
        <f t="shared" si="14"/>
        <v>103740.92898353562</v>
      </c>
      <c r="AD53" s="95">
        <f t="shared" si="14"/>
        <v>75491.471378157847</v>
      </c>
      <c r="AE53" s="95">
        <f t="shared" si="14"/>
        <v>47100.766484752297</v>
      </c>
      <c r="AF53" s="95">
        <f>SUM(G53:AE53)</f>
        <v>11504472.47592248</v>
      </c>
      <c r="AG53" s="60"/>
    </row>
    <row r="54" spans="2:33" x14ac:dyDescent="0.3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2:33" x14ac:dyDescent="0.3">
      <c r="B55" s="61" t="s">
        <v>115</v>
      </c>
      <c r="C55" s="61"/>
      <c r="D55" s="61"/>
      <c r="E55" s="61"/>
      <c r="F55" s="67" t="s">
        <v>73</v>
      </c>
      <c r="G55" s="64">
        <f>$I$3</f>
        <v>-318623.66912329977</v>
      </c>
      <c r="H55" s="64">
        <f t="shared" ref="H55:U55" si="15">$I$3</f>
        <v>-318623.66912329977</v>
      </c>
      <c r="I55" s="64">
        <f t="shared" si="15"/>
        <v>-318623.66912329977</v>
      </c>
      <c r="J55" s="64">
        <f t="shared" si="15"/>
        <v>-318623.66912329977</v>
      </c>
      <c r="K55" s="64">
        <f t="shared" si="15"/>
        <v>-318623.66912329977</v>
      </c>
      <c r="L55" s="64">
        <f t="shared" si="15"/>
        <v>-318623.66912329977</v>
      </c>
      <c r="M55" s="64">
        <f t="shared" si="15"/>
        <v>-318623.66912329977</v>
      </c>
      <c r="N55" s="64">
        <f t="shared" si="15"/>
        <v>-318623.66912329977</v>
      </c>
      <c r="O55" s="64">
        <f t="shared" si="15"/>
        <v>-318623.66912329977</v>
      </c>
      <c r="P55" s="64">
        <f t="shared" si="15"/>
        <v>-318623.66912329977</v>
      </c>
      <c r="Q55" s="64">
        <f t="shared" si="15"/>
        <v>-318623.66912329977</v>
      </c>
      <c r="R55" s="64">
        <f t="shared" si="15"/>
        <v>-318623.66912329977</v>
      </c>
      <c r="S55" s="64">
        <f t="shared" si="15"/>
        <v>-318623.66912329977</v>
      </c>
      <c r="T55" s="64">
        <f t="shared" si="15"/>
        <v>-318623.66912329977</v>
      </c>
      <c r="U55" s="64">
        <f t="shared" si="15"/>
        <v>-318623.66912329977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0</v>
      </c>
      <c r="AE55" s="64">
        <v>0</v>
      </c>
      <c r="AF55" s="64"/>
      <c r="AG55" s="23"/>
    </row>
    <row r="56" spans="2:33" x14ac:dyDescent="0.3">
      <c r="B56" s="61" t="s">
        <v>116</v>
      </c>
      <c r="C56" s="61"/>
      <c r="D56" s="61"/>
      <c r="E56" s="61"/>
      <c r="F56" s="67" t="s">
        <v>73</v>
      </c>
      <c r="G56" s="64">
        <f>-$C$10/$E$10</f>
        <v>-157800</v>
      </c>
      <c r="H56" s="64">
        <f t="shared" ref="H56:AE56" si="16">-$C$10/$E$10</f>
        <v>-157800</v>
      </c>
      <c r="I56" s="64">
        <f t="shared" si="16"/>
        <v>-157800</v>
      </c>
      <c r="J56" s="64">
        <f t="shared" si="16"/>
        <v>-157800</v>
      </c>
      <c r="K56" s="64">
        <f t="shared" si="16"/>
        <v>-157800</v>
      </c>
      <c r="L56" s="64">
        <f t="shared" si="16"/>
        <v>-157800</v>
      </c>
      <c r="M56" s="64">
        <f t="shared" si="16"/>
        <v>-157800</v>
      </c>
      <c r="N56" s="64">
        <f t="shared" si="16"/>
        <v>-157800</v>
      </c>
      <c r="O56" s="64">
        <f t="shared" si="16"/>
        <v>-157800</v>
      </c>
      <c r="P56" s="64">
        <f t="shared" si="16"/>
        <v>-157800</v>
      </c>
      <c r="Q56" s="64">
        <f t="shared" si="16"/>
        <v>-157800</v>
      </c>
      <c r="R56" s="64">
        <f t="shared" si="16"/>
        <v>-157800</v>
      </c>
      <c r="S56" s="64">
        <f t="shared" si="16"/>
        <v>-157800</v>
      </c>
      <c r="T56" s="64">
        <f t="shared" si="16"/>
        <v>-157800</v>
      </c>
      <c r="U56" s="64">
        <f t="shared" si="16"/>
        <v>-157800</v>
      </c>
      <c r="V56" s="64">
        <f t="shared" si="16"/>
        <v>-157800</v>
      </c>
      <c r="W56" s="64">
        <f t="shared" si="16"/>
        <v>-157800</v>
      </c>
      <c r="X56" s="64">
        <f t="shared" si="16"/>
        <v>-157800</v>
      </c>
      <c r="Y56" s="64">
        <f t="shared" si="16"/>
        <v>-157800</v>
      </c>
      <c r="Z56" s="64">
        <f t="shared" si="16"/>
        <v>-157800</v>
      </c>
      <c r="AA56" s="64">
        <f t="shared" si="16"/>
        <v>-157800</v>
      </c>
      <c r="AB56" s="64">
        <f t="shared" si="16"/>
        <v>-157800</v>
      </c>
      <c r="AC56" s="64">
        <f t="shared" si="16"/>
        <v>-157800</v>
      </c>
      <c r="AD56" s="64">
        <f t="shared" si="16"/>
        <v>-157800</v>
      </c>
      <c r="AE56" s="64">
        <f t="shared" si="16"/>
        <v>-157800</v>
      </c>
      <c r="AF56" s="64"/>
      <c r="AG56" s="23"/>
    </row>
    <row r="57" spans="2:33" x14ac:dyDescent="0.3">
      <c r="B57" s="61" t="s">
        <v>117</v>
      </c>
      <c r="C57" s="61"/>
      <c r="D57" s="61"/>
      <c r="E57" s="61"/>
      <c r="F57" s="67" t="s">
        <v>73</v>
      </c>
      <c r="G57" s="64"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4">
        <v>0</v>
      </c>
      <c r="AE57" s="64">
        <v>0</v>
      </c>
      <c r="AF57" s="64"/>
      <c r="AG57" s="23"/>
    </row>
    <row r="58" spans="2:33" x14ac:dyDescent="0.3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</row>
    <row r="59" spans="2:33" ht="15.6" x14ac:dyDescent="0.3">
      <c r="B59" s="57" t="s">
        <v>118</v>
      </c>
      <c r="C59" s="58"/>
      <c r="D59" s="58"/>
      <c r="E59" s="58"/>
      <c r="F59" s="59" t="s">
        <v>73</v>
      </c>
      <c r="G59" s="95">
        <f t="shared" ref="G59:AE59" si="17">G53+G55+G56+G57</f>
        <v>356182.57718047744</v>
      </c>
      <c r="H59" s="95">
        <f t="shared" si="17"/>
        <v>330868.81153677555</v>
      </c>
      <c r="I59" s="95">
        <f t="shared" si="17"/>
        <v>305428.47706485318</v>
      </c>
      <c r="J59" s="95">
        <f t="shared" si="17"/>
        <v>279860.94092057052</v>
      </c>
      <c r="K59" s="95">
        <f t="shared" si="17"/>
        <v>254165.56709556899</v>
      </c>
      <c r="L59" s="95">
        <f t="shared" si="17"/>
        <v>228341.71640144067</v>
      </c>
      <c r="M59" s="95">
        <f t="shared" si="17"/>
        <v>202388.7464538418</v>
      </c>
      <c r="N59" s="95">
        <f t="shared" si="17"/>
        <v>176306.01165650564</v>
      </c>
      <c r="O59" s="95">
        <f t="shared" si="17"/>
        <v>150092.8631851828</v>
      </c>
      <c r="P59" s="95">
        <f t="shared" si="17"/>
        <v>123748.64897150325</v>
      </c>
      <c r="Q59" s="95">
        <f t="shared" si="17"/>
        <v>97272.713686754578</v>
      </c>
      <c r="R59" s="95">
        <f t="shared" si="17"/>
        <v>70664.398725582869</v>
      </c>
      <c r="S59" s="95">
        <f t="shared" si="17"/>
        <v>43923.042189605185</v>
      </c>
      <c r="T59" s="95">
        <f t="shared" si="17"/>
        <v>17047.978870947496</v>
      </c>
      <c r="U59" s="95">
        <f t="shared" si="17"/>
        <v>-9961.4597643021261</v>
      </c>
      <c r="V59" s="95">
        <f t="shared" si="17"/>
        <v>139790.79854535218</v>
      </c>
      <c r="W59" s="95">
        <f t="shared" si="17"/>
        <v>112510.59028778411</v>
      </c>
      <c r="X59" s="95">
        <f t="shared" si="17"/>
        <v>85093.980988925323</v>
      </c>
      <c r="Y59" s="95">
        <f t="shared" si="17"/>
        <v>57540.288643574342</v>
      </c>
      <c r="Z59" s="95">
        <f t="shared" si="17"/>
        <v>29848.827836495824</v>
      </c>
      <c r="AA59" s="95">
        <f t="shared" si="17"/>
        <v>2018.9097253819928</v>
      </c>
      <c r="AB59" s="95">
        <f t="shared" si="17"/>
        <v>-25950.157976287417</v>
      </c>
      <c r="AC59" s="95">
        <f t="shared" si="17"/>
        <v>-54059.071016464382</v>
      </c>
      <c r="AD59" s="95">
        <f t="shared" si="17"/>
        <v>-82308.528621842153</v>
      </c>
      <c r="AE59" s="95">
        <f t="shared" si="17"/>
        <v>-110699.2335152477</v>
      </c>
      <c r="AF59" s="95">
        <f>SUM(G59:AE59)</f>
        <v>2780117.4390729787</v>
      </c>
      <c r="AG59" s="60"/>
    </row>
    <row r="60" spans="2:33" x14ac:dyDescent="0.3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</row>
    <row r="61" spans="2:33" x14ac:dyDescent="0.3">
      <c r="B61" s="61" t="s">
        <v>119</v>
      </c>
      <c r="C61" s="61"/>
      <c r="D61" s="61"/>
      <c r="E61" s="61"/>
      <c r="F61" s="63" t="s">
        <v>73</v>
      </c>
      <c r="G61" s="64">
        <f t="shared" ref="G61:AE61" si="18">G59*$I$8</f>
        <v>85483.818523314578</v>
      </c>
      <c r="H61" s="64">
        <f t="shared" si="18"/>
        <v>79408.514768826135</v>
      </c>
      <c r="I61" s="64">
        <f t="shared" si="18"/>
        <v>73302.834495564763</v>
      </c>
      <c r="J61" s="64">
        <f t="shared" si="18"/>
        <v>67166.625820936926</v>
      </c>
      <c r="K61" s="64">
        <f t="shared" si="18"/>
        <v>60999.736102936557</v>
      </c>
      <c r="L61" s="64">
        <f t="shared" si="18"/>
        <v>54802.011936345756</v>
      </c>
      <c r="M61" s="64">
        <f t="shared" si="18"/>
        <v>48573.299148922029</v>
      </c>
      <c r="N61" s="64">
        <f t="shared" si="18"/>
        <v>42313.442797561351</v>
      </c>
      <c r="O61" s="64">
        <f t="shared" si="18"/>
        <v>36022.287164443871</v>
      </c>
      <c r="P61" s="64">
        <f t="shared" si="18"/>
        <v>29699.67575316078</v>
      </c>
      <c r="Q61" s="64">
        <f t="shared" si="18"/>
        <v>23345.451284821098</v>
      </c>
      <c r="R61" s="64">
        <f t="shared" si="18"/>
        <v>16959.455694139888</v>
      </c>
      <c r="S61" s="64">
        <f t="shared" si="18"/>
        <v>10541.530125505244</v>
      </c>
      <c r="T61" s="64">
        <f t="shared" si="18"/>
        <v>4091.5149290273989</v>
      </c>
      <c r="U61" s="64">
        <f t="shared" si="18"/>
        <v>-2390.7503434325104</v>
      </c>
      <c r="V61" s="64">
        <f t="shared" si="18"/>
        <v>33549.791650884523</v>
      </c>
      <c r="W61" s="64">
        <f t="shared" si="18"/>
        <v>27002.541669068185</v>
      </c>
      <c r="X61" s="64">
        <f t="shared" si="18"/>
        <v>20422.555437342078</v>
      </c>
      <c r="Y61" s="64">
        <f t="shared" si="18"/>
        <v>13809.669274457841</v>
      </c>
      <c r="Z61" s="64">
        <f t="shared" si="18"/>
        <v>7163.7186807589978</v>
      </c>
      <c r="AA61" s="64">
        <f t="shared" si="18"/>
        <v>484.53833409167822</v>
      </c>
      <c r="AB61" s="64">
        <f t="shared" si="18"/>
        <v>-6228.0379143089795</v>
      </c>
      <c r="AC61" s="64">
        <f t="shared" si="18"/>
        <v>-12974.177043951451</v>
      </c>
      <c r="AD61" s="64">
        <f t="shared" si="18"/>
        <v>-19754.046869242116</v>
      </c>
      <c r="AE61" s="64">
        <f t="shared" si="18"/>
        <v>-26567.816043659448</v>
      </c>
      <c r="AF61" s="64">
        <f>SUM(G61:AE61)</f>
        <v>667228.18537751515</v>
      </c>
      <c r="AG61" s="23"/>
    </row>
    <row r="62" spans="2:33" x14ac:dyDescent="0.3">
      <c r="B62" s="61" t="s">
        <v>120</v>
      </c>
      <c r="C62" s="61"/>
      <c r="D62" s="61"/>
      <c r="E62" s="61"/>
      <c r="F62" s="63" t="s">
        <v>73</v>
      </c>
      <c r="G62" s="64">
        <f t="shared" ref="G62:AE62" si="19">G59*$I$9</f>
        <v>13891.12051003862</v>
      </c>
      <c r="H62" s="64">
        <f t="shared" si="19"/>
        <v>12903.883649934247</v>
      </c>
      <c r="I62" s="64">
        <f t="shared" si="19"/>
        <v>11911.710605529273</v>
      </c>
      <c r="J62" s="64">
        <f t="shared" si="19"/>
        <v>10914.576695902249</v>
      </c>
      <c r="K62" s="64">
        <f t="shared" si="19"/>
        <v>9912.4571167271897</v>
      </c>
      <c r="L62" s="64">
        <f t="shared" si="19"/>
        <v>8905.3269396561864</v>
      </c>
      <c r="M62" s="64">
        <f t="shared" si="19"/>
        <v>7893.1611116998301</v>
      </c>
      <c r="N62" s="64">
        <f t="shared" si="19"/>
        <v>6875.93445460372</v>
      </c>
      <c r="O62" s="64">
        <f t="shared" si="19"/>
        <v>5853.6216642221289</v>
      </c>
      <c r="P62" s="64">
        <f t="shared" si="19"/>
        <v>4826.1973098886265</v>
      </c>
      <c r="Q62" s="64">
        <f t="shared" si="19"/>
        <v>3793.6358337834286</v>
      </c>
      <c r="R62" s="64">
        <f t="shared" si="19"/>
        <v>2755.911550297732</v>
      </c>
      <c r="S62" s="64">
        <f t="shared" si="19"/>
        <v>1712.9986453946021</v>
      </c>
      <c r="T62" s="64">
        <f t="shared" si="19"/>
        <v>664.87117596695236</v>
      </c>
      <c r="U62" s="64">
        <f t="shared" si="19"/>
        <v>-388.49693080778292</v>
      </c>
      <c r="V62" s="64">
        <f t="shared" si="19"/>
        <v>5451.8411432687353</v>
      </c>
      <c r="W62" s="64">
        <f t="shared" si="19"/>
        <v>4387.9130212235805</v>
      </c>
      <c r="X62" s="64">
        <f t="shared" si="19"/>
        <v>3318.6652585680877</v>
      </c>
      <c r="Y62" s="64">
        <f t="shared" si="19"/>
        <v>2244.0712570993992</v>
      </c>
      <c r="Z62" s="64">
        <f t="shared" si="19"/>
        <v>1164.1042856233371</v>
      </c>
      <c r="AA62" s="64">
        <f t="shared" si="19"/>
        <v>78.73747928989772</v>
      </c>
      <c r="AB62" s="64">
        <f t="shared" si="19"/>
        <v>-1012.0561610752093</v>
      </c>
      <c r="AC62" s="64">
        <f t="shared" si="19"/>
        <v>-2108.3037696421111</v>
      </c>
      <c r="AD62" s="64">
        <f t="shared" si="19"/>
        <v>-3210.032616251844</v>
      </c>
      <c r="AE62" s="64">
        <f t="shared" si="19"/>
        <v>-4317.2701070946605</v>
      </c>
      <c r="AF62" s="64">
        <f>SUM(G62:AE62)</f>
        <v>108424.58012384617</v>
      </c>
      <c r="AG62" s="23"/>
    </row>
    <row r="63" spans="2:33" ht="16.8" x14ac:dyDescent="0.4">
      <c r="B63" s="61" t="s">
        <v>86</v>
      </c>
      <c r="C63" s="61"/>
      <c r="D63" s="100"/>
      <c r="E63" s="101">
        <f>+C7/2.1*0.02*1.05*65*I10*0.05</f>
        <v>2718.105</v>
      </c>
      <c r="F63" s="63" t="s">
        <v>73</v>
      </c>
      <c r="G63" s="64">
        <f t="shared" ref="G63:AE63" si="20">$E$63</f>
        <v>2718.105</v>
      </c>
      <c r="H63" s="64">
        <f t="shared" si="20"/>
        <v>2718.105</v>
      </c>
      <c r="I63" s="64">
        <f t="shared" si="20"/>
        <v>2718.105</v>
      </c>
      <c r="J63" s="64">
        <f t="shared" si="20"/>
        <v>2718.105</v>
      </c>
      <c r="K63" s="64">
        <f t="shared" si="20"/>
        <v>2718.105</v>
      </c>
      <c r="L63" s="64">
        <f t="shared" si="20"/>
        <v>2718.105</v>
      </c>
      <c r="M63" s="64">
        <f t="shared" si="20"/>
        <v>2718.105</v>
      </c>
      <c r="N63" s="64">
        <f t="shared" si="20"/>
        <v>2718.105</v>
      </c>
      <c r="O63" s="64">
        <f t="shared" si="20"/>
        <v>2718.105</v>
      </c>
      <c r="P63" s="64">
        <f t="shared" si="20"/>
        <v>2718.105</v>
      </c>
      <c r="Q63" s="64">
        <f t="shared" si="20"/>
        <v>2718.105</v>
      </c>
      <c r="R63" s="64">
        <f t="shared" si="20"/>
        <v>2718.105</v>
      </c>
      <c r="S63" s="64">
        <f t="shared" si="20"/>
        <v>2718.105</v>
      </c>
      <c r="T63" s="64">
        <f t="shared" si="20"/>
        <v>2718.105</v>
      </c>
      <c r="U63" s="64">
        <f t="shared" si="20"/>
        <v>2718.105</v>
      </c>
      <c r="V63" s="64">
        <f t="shared" si="20"/>
        <v>2718.105</v>
      </c>
      <c r="W63" s="64">
        <f t="shared" si="20"/>
        <v>2718.105</v>
      </c>
      <c r="X63" s="64">
        <f t="shared" si="20"/>
        <v>2718.105</v>
      </c>
      <c r="Y63" s="64">
        <f t="shared" si="20"/>
        <v>2718.105</v>
      </c>
      <c r="Z63" s="64">
        <f t="shared" si="20"/>
        <v>2718.105</v>
      </c>
      <c r="AA63" s="64">
        <f t="shared" si="20"/>
        <v>2718.105</v>
      </c>
      <c r="AB63" s="64">
        <f t="shared" si="20"/>
        <v>2718.105</v>
      </c>
      <c r="AC63" s="64">
        <f t="shared" si="20"/>
        <v>2718.105</v>
      </c>
      <c r="AD63" s="64">
        <f t="shared" si="20"/>
        <v>2718.105</v>
      </c>
      <c r="AE63" s="64">
        <f t="shared" si="20"/>
        <v>2718.105</v>
      </c>
      <c r="AF63" s="64">
        <f>SUM(G63:AE63)</f>
        <v>67952.625000000029</v>
      </c>
      <c r="AG63" s="23"/>
    </row>
    <row r="64" spans="2:33" x14ac:dyDescent="0.3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</row>
    <row r="65" spans="2:33" ht="15.6" x14ac:dyDescent="0.3">
      <c r="B65" s="57" t="s">
        <v>121</v>
      </c>
      <c r="C65" s="58"/>
      <c r="D65" s="58"/>
      <c r="E65" s="58"/>
      <c r="F65" s="102">
        <f>-C10</f>
        <v>-3945000</v>
      </c>
      <c r="G65" s="95">
        <f t="shared" ref="G65:AE65" si="21">G59-G61-G62-G63-G56</f>
        <v>411889.53314712422</v>
      </c>
      <c r="H65" s="95">
        <f t="shared" si="21"/>
        <v>393638.30811801518</v>
      </c>
      <c r="I65" s="95">
        <f t="shared" si="21"/>
        <v>375295.82696375914</v>
      </c>
      <c r="J65" s="95">
        <f t="shared" si="21"/>
        <v>356861.63340373134</v>
      </c>
      <c r="K65" s="95">
        <f t="shared" si="21"/>
        <v>338335.2688759052</v>
      </c>
      <c r="L65" s="95">
        <f t="shared" si="21"/>
        <v>319716.27252543869</v>
      </c>
      <c r="M65" s="95">
        <f t="shared" si="21"/>
        <v>301004.18119321996</v>
      </c>
      <c r="N65" s="95">
        <f t="shared" si="21"/>
        <v>282198.52940434054</v>
      </c>
      <c r="O65" s="95">
        <f t="shared" si="21"/>
        <v>263298.84935651679</v>
      </c>
      <c r="P65" s="95">
        <f t="shared" si="21"/>
        <v>244304.67090845385</v>
      </c>
      <c r="Q65" s="95">
        <f t="shared" si="21"/>
        <v>225215.52156815006</v>
      </c>
      <c r="R65" s="95">
        <f t="shared" si="21"/>
        <v>206030.92648114526</v>
      </c>
      <c r="S65" s="95">
        <f t="shared" si="21"/>
        <v>186750.40841870534</v>
      </c>
      <c r="T65" s="95">
        <f t="shared" si="21"/>
        <v>167373.48776595315</v>
      </c>
      <c r="U65" s="95">
        <f t="shared" si="21"/>
        <v>147899.68250993817</v>
      </c>
      <c r="V65" s="95">
        <f t="shared" si="21"/>
        <v>255871.06075119891</v>
      </c>
      <c r="W65" s="95">
        <f t="shared" si="21"/>
        <v>236202.03059749235</v>
      </c>
      <c r="X65" s="95">
        <f t="shared" si="21"/>
        <v>216434.65529301515</v>
      </c>
      <c r="Y65" s="95">
        <f t="shared" si="21"/>
        <v>196568.44311201709</v>
      </c>
      <c r="Z65" s="95">
        <f t="shared" si="21"/>
        <v>176602.8998701135</v>
      </c>
      <c r="AA65" s="95">
        <f t="shared" si="21"/>
        <v>156537.52891200042</v>
      </c>
      <c r="AB65" s="95">
        <f t="shared" si="21"/>
        <v>136371.83109909677</v>
      </c>
      <c r="AC65" s="95">
        <f t="shared" si="21"/>
        <v>116105.30479712918</v>
      </c>
      <c r="AD65" s="95">
        <f t="shared" si="21"/>
        <v>95737.44586365181</v>
      </c>
      <c r="AE65" s="95">
        <f t="shared" si="21"/>
        <v>75267.747635506414</v>
      </c>
      <c r="AF65" s="95">
        <f>SUM(F65:AE65)</f>
        <v>1936512.048571618</v>
      </c>
      <c r="AG65" s="60"/>
    </row>
    <row r="66" spans="2:33" x14ac:dyDescent="0.3">
      <c r="B66" s="23"/>
      <c r="C66" s="23"/>
      <c r="D66" s="23"/>
      <c r="E66" s="23"/>
      <c r="F66" s="23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</row>
    <row r="67" spans="2:33" ht="15.6" x14ac:dyDescent="0.3">
      <c r="B67" s="57" t="s">
        <v>122</v>
      </c>
      <c r="C67" s="103">
        <f>+F65</f>
        <v>-3945000</v>
      </c>
      <c r="D67" s="104"/>
      <c r="E67" s="104"/>
      <c r="F67" s="105"/>
      <c r="G67" s="103">
        <f>F65+G65</f>
        <v>-3533110.4668528759</v>
      </c>
      <c r="H67" s="103">
        <f t="shared" ref="H67:AE67" si="22">+G67+H65</f>
        <v>-3139472.1587348608</v>
      </c>
      <c r="I67" s="103">
        <f t="shared" si="22"/>
        <v>-2764176.3317711018</v>
      </c>
      <c r="J67" s="103">
        <f t="shared" si="22"/>
        <v>-2407314.6983673703</v>
      </c>
      <c r="K67" s="103">
        <f t="shared" si="22"/>
        <v>-2068979.429491465</v>
      </c>
      <c r="L67" s="103">
        <f t="shared" si="22"/>
        <v>-1749263.1569660264</v>
      </c>
      <c r="M67" s="103">
        <f t="shared" si="22"/>
        <v>-1448258.9757728064</v>
      </c>
      <c r="N67" s="103">
        <f t="shared" si="22"/>
        <v>-1166060.4463684659</v>
      </c>
      <c r="O67" s="103">
        <f t="shared" si="22"/>
        <v>-902761.59701194917</v>
      </c>
      <c r="P67" s="103">
        <f t="shared" si="22"/>
        <v>-658456.92610349529</v>
      </c>
      <c r="Q67" s="103">
        <f t="shared" si="22"/>
        <v>-433241.40453534527</v>
      </c>
      <c r="R67" s="103">
        <f t="shared" si="22"/>
        <v>-227210.47805420001</v>
      </c>
      <c r="S67" s="103">
        <f t="shared" si="22"/>
        <v>-40460.06963549467</v>
      </c>
      <c r="T67" s="103">
        <f t="shared" si="22"/>
        <v>126913.41813045848</v>
      </c>
      <c r="U67" s="103">
        <f t="shared" si="22"/>
        <v>274813.10064039665</v>
      </c>
      <c r="V67" s="103">
        <f t="shared" si="22"/>
        <v>530684.16139159561</v>
      </c>
      <c r="W67" s="103">
        <f t="shared" si="22"/>
        <v>766886.19198908797</v>
      </c>
      <c r="X67" s="103">
        <f t="shared" si="22"/>
        <v>983320.84728210315</v>
      </c>
      <c r="Y67" s="103">
        <f t="shared" si="22"/>
        <v>1179889.2903941202</v>
      </c>
      <c r="Z67" s="103">
        <f t="shared" si="22"/>
        <v>1356492.1902642336</v>
      </c>
      <c r="AA67" s="103">
        <f t="shared" si="22"/>
        <v>1513029.719176234</v>
      </c>
      <c r="AB67" s="103">
        <f t="shared" si="22"/>
        <v>1649401.5502753307</v>
      </c>
      <c r="AC67" s="103">
        <f t="shared" si="22"/>
        <v>1765506.8550724599</v>
      </c>
      <c r="AD67" s="103">
        <f t="shared" si="22"/>
        <v>1861244.3009361117</v>
      </c>
      <c r="AE67" s="103">
        <f t="shared" si="22"/>
        <v>1936512.048571618</v>
      </c>
      <c r="AF67" s="23"/>
      <c r="AG67" s="23"/>
    </row>
    <row r="68" spans="2:33" x14ac:dyDescent="0.3">
      <c r="B68" s="23"/>
      <c r="C68" s="23"/>
      <c r="D68" s="23"/>
      <c r="E68" s="23"/>
      <c r="F68" s="23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</row>
    <row r="69" spans="2:33" x14ac:dyDescent="0.3">
      <c r="B69" s="23"/>
      <c r="C69" s="23"/>
      <c r="D69" s="23"/>
      <c r="E69" s="23"/>
      <c r="F69" s="23"/>
      <c r="G69" s="24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</row>
    <row r="70" spans="2:33" ht="15.6" x14ac:dyDescent="0.3">
      <c r="B70" s="57" t="s">
        <v>123</v>
      </c>
      <c r="C70" s="58"/>
      <c r="D70" s="58"/>
      <c r="E70" s="58"/>
      <c r="F70" s="58"/>
      <c r="G70" s="106">
        <f>AF65</f>
        <v>1936512.048571618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60"/>
    </row>
    <row r="71" spans="2:33" ht="15.6" x14ac:dyDescent="0.3">
      <c r="B71" s="23"/>
      <c r="C71" s="23"/>
      <c r="D71" s="23"/>
      <c r="E71" s="23"/>
      <c r="F71" s="23"/>
      <c r="G71" s="24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23"/>
    </row>
    <row r="72" spans="2:33" ht="15.6" x14ac:dyDescent="0.3">
      <c r="B72" s="23"/>
      <c r="C72" s="23"/>
      <c r="D72" s="23"/>
      <c r="E72" s="23"/>
      <c r="F72" s="23"/>
      <c r="G72" s="24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23"/>
    </row>
    <row r="73" spans="2:33" ht="15.6" x14ac:dyDescent="0.3">
      <c r="B73" s="57" t="s">
        <v>124</v>
      </c>
      <c r="C73" s="58"/>
      <c r="D73" s="58"/>
      <c r="E73" s="58"/>
      <c r="F73" s="58"/>
      <c r="G73" s="108">
        <f>G53/C8</f>
        <v>0.10552677392950281</v>
      </c>
      <c r="H73" s="60"/>
      <c r="I73" s="109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</row>
    <row r="74" spans="2:33" ht="15" thickBot="1" x14ac:dyDescent="0.35">
      <c r="B74" s="23"/>
      <c r="C74" s="23"/>
      <c r="D74" s="23"/>
      <c r="E74" s="23"/>
      <c r="F74" s="23"/>
      <c r="G74" s="24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</row>
    <row r="75" spans="2:33" ht="16.2" thickBot="1" x14ac:dyDescent="0.35">
      <c r="B75" s="110" t="s">
        <v>125</v>
      </c>
      <c r="C75" s="111"/>
      <c r="D75" s="111"/>
      <c r="E75" s="111"/>
      <c r="F75" s="111"/>
      <c r="G75" s="112">
        <f>G65/C10</f>
        <v>0.10440799319318739</v>
      </c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</row>
    <row r="76" spans="2:33" x14ac:dyDescent="0.3">
      <c r="B76" s="23"/>
      <c r="C76" s="23"/>
      <c r="D76" s="23"/>
      <c r="E76" s="23"/>
      <c r="F76" s="23"/>
      <c r="G76" s="24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</row>
    <row r="77" spans="2:33" ht="15.6" x14ac:dyDescent="0.3">
      <c r="B77" s="113" t="s">
        <v>126</v>
      </c>
      <c r="C77" s="114"/>
      <c r="D77" s="114"/>
      <c r="E77" s="114"/>
      <c r="F77" s="114"/>
      <c r="G77" s="115">
        <f>COUNTIF(G67:AE67,"&lt;0")+1</f>
        <v>14</v>
      </c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</row>
    <row r="78" spans="2:33" x14ac:dyDescent="0.3">
      <c r="B78" s="116"/>
      <c r="C78" s="117"/>
      <c r="D78" s="117"/>
      <c r="E78" s="117"/>
      <c r="F78" s="117"/>
      <c r="G78" s="118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</row>
    <row r="79" spans="2:33" x14ac:dyDescent="0.3">
      <c r="B79" s="54" t="s">
        <v>127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</row>
    <row r="80" spans="2:33" x14ac:dyDescent="0.3">
      <c r="B80" s="54" t="s">
        <v>128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</row>
    <row r="81" spans="2:33" x14ac:dyDescent="0.3">
      <c r="B81" s="54" t="s">
        <v>129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</row>
    <row r="82" spans="2:33" x14ac:dyDescent="0.3">
      <c r="B82" s="54" t="s">
        <v>130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</row>
    <row r="83" spans="2:33" x14ac:dyDescent="0.3">
      <c r="B83" s="119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</row>
    <row r="87" spans="2:33" x14ac:dyDescent="0.3">
      <c r="C87" s="8">
        <v>0</v>
      </c>
    </row>
    <row r="88" spans="2:33" x14ac:dyDescent="0.3">
      <c r="C88" s="8">
        <f>C87+1</f>
        <v>1</v>
      </c>
    </row>
    <row r="89" spans="2:33" x14ac:dyDescent="0.3">
      <c r="C89" s="8">
        <f t="shared" ref="C89:C112" si="23">C88+1</f>
        <v>2</v>
      </c>
    </row>
    <row r="90" spans="2:33" x14ac:dyDescent="0.3">
      <c r="C90" s="8">
        <f t="shared" si="23"/>
        <v>3</v>
      </c>
    </row>
    <row r="91" spans="2:33" x14ac:dyDescent="0.3">
      <c r="C91" s="8">
        <f t="shared" si="23"/>
        <v>4</v>
      </c>
    </row>
    <row r="92" spans="2:33" x14ac:dyDescent="0.3">
      <c r="C92" s="8">
        <f t="shared" si="23"/>
        <v>5</v>
      </c>
    </row>
    <row r="93" spans="2:33" x14ac:dyDescent="0.3">
      <c r="C93" s="8">
        <f t="shared" si="23"/>
        <v>6</v>
      </c>
    </row>
    <row r="94" spans="2:33" x14ac:dyDescent="0.3">
      <c r="C94" s="8">
        <f t="shared" si="23"/>
        <v>7</v>
      </c>
    </row>
    <row r="95" spans="2:33" x14ac:dyDescent="0.3">
      <c r="C95" s="8">
        <f t="shared" si="23"/>
        <v>8</v>
      </c>
    </row>
    <row r="96" spans="2:33" x14ac:dyDescent="0.3">
      <c r="C96" s="8">
        <f t="shared" si="23"/>
        <v>9</v>
      </c>
    </row>
    <row r="97" spans="3:3" x14ac:dyDescent="0.3">
      <c r="C97" s="8">
        <f t="shared" si="23"/>
        <v>10</v>
      </c>
    </row>
    <row r="98" spans="3:3" x14ac:dyDescent="0.3">
      <c r="C98" s="8">
        <f t="shared" si="23"/>
        <v>11</v>
      </c>
    </row>
    <row r="99" spans="3:3" x14ac:dyDescent="0.3">
      <c r="C99" s="8">
        <f t="shared" si="23"/>
        <v>12</v>
      </c>
    </row>
    <row r="100" spans="3:3" x14ac:dyDescent="0.3">
      <c r="C100" s="8">
        <f t="shared" si="23"/>
        <v>13</v>
      </c>
    </row>
    <row r="101" spans="3:3" x14ac:dyDescent="0.3">
      <c r="C101" s="8">
        <f t="shared" si="23"/>
        <v>14</v>
      </c>
    </row>
    <row r="102" spans="3:3" x14ac:dyDescent="0.3">
      <c r="C102" s="8">
        <f t="shared" si="23"/>
        <v>15</v>
      </c>
    </row>
    <row r="103" spans="3:3" x14ac:dyDescent="0.3">
      <c r="C103" s="8">
        <f t="shared" si="23"/>
        <v>16</v>
      </c>
    </row>
    <row r="104" spans="3:3" x14ac:dyDescent="0.3">
      <c r="C104" s="8">
        <f t="shared" si="23"/>
        <v>17</v>
      </c>
    </row>
    <row r="105" spans="3:3" x14ac:dyDescent="0.3">
      <c r="C105" s="8">
        <f t="shared" si="23"/>
        <v>18</v>
      </c>
    </row>
    <row r="106" spans="3:3" x14ac:dyDescent="0.3">
      <c r="C106" s="8">
        <f t="shared" si="23"/>
        <v>19</v>
      </c>
    </row>
    <row r="107" spans="3:3" x14ac:dyDescent="0.3">
      <c r="C107" s="8">
        <f t="shared" si="23"/>
        <v>20</v>
      </c>
    </row>
    <row r="108" spans="3:3" x14ac:dyDescent="0.3">
      <c r="C108" s="8">
        <f t="shared" si="23"/>
        <v>21</v>
      </c>
    </row>
    <row r="109" spans="3:3" x14ac:dyDescent="0.3">
      <c r="C109" s="8">
        <f t="shared" si="23"/>
        <v>22</v>
      </c>
    </row>
    <row r="110" spans="3:3" x14ac:dyDescent="0.3">
      <c r="C110" s="8">
        <f t="shared" si="23"/>
        <v>23</v>
      </c>
    </row>
    <row r="111" spans="3:3" x14ac:dyDescent="0.3">
      <c r="C111" s="8">
        <f t="shared" si="23"/>
        <v>24</v>
      </c>
    </row>
    <row r="112" spans="3:3" x14ac:dyDescent="0.3">
      <c r="C112" s="8">
        <f t="shared" si="23"/>
        <v>25</v>
      </c>
    </row>
  </sheetData>
  <dataValidations disablePrompts="1" count="1">
    <dataValidation type="list" allowBlank="1" showInputMessage="1" showErrorMessage="1" sqref="C17:C21" xr:uid="{FBB7212E-101B-41DD-B477-20A92B0C12CC}">
      <formula1>"180,200"</formula1>
    </dataValidation>
  </dataValidations>
  <hyperlinks>
    <hyperlink ref="D11" r:id="rId1" xr:uid="{EF241D06-69E0-4CD8-B738-56167D7A637D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Calcolo</vt:lpstr>
      <vt:lpstr>Piano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2021-12-19T09:22:20Z</dcterms:created>
  <dcterms:modified xsi:type="dcterms:W3CDTF">2022-10-05T13:15:31Z</dcterms:modified>
</cp:coreProperties>
</file>